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5"/>
  </bookViews>
  <sheets>
    <sheet name="168 Percent" sheetId="1" r:id="rId1"/>
    <sheet name="Proforma IS Years 1 - 5" sheetId="10" r:id="rId2"/>
    <sheet name="IS Years 6 - 10" sheetId="14" r:id="rId3"/>
    <sheet name="BS Years 1-5" sheetId="13" r:id="rId4"/>
    <sheet name="BS Years 6-10" sheetId="15" r:id="rId5"/>
    <sheet name="Statement of Cash Flows" sheetId="12" r:id="rId6"/>
  </sheets>
  <definedNames>
    <definedName name="_xlnm.Print_Area" localSheetId="5">'Statement of Cash Flows'!$A$1:$AO$36</definedName>
  </definedNames>
  <calcPr calcId="145621"/>
</workbook>
</file>

<file path=xl/calcChain.xml><?xml version="1.0" encoding="utf-8"?>
<calcChain xmlns="http://schemas.openxmlformats.org/spreadsheetml/2006/main">
  <c r="M8" i="13" l="1"/>
  <c r="K8" i="13"/>
  <c r="I8" i="13"/>
  <c r="M17" i="13"/>
  <c r="K17" i="13"/>
  <c r="M16" i="13"/>
  <c r="K16" i="13"/>
  <c r="M15" i="13"/>
  <c r="K15" i="13"/>
  <c r="I16" i="13"/>
  <c r="I17" i="13"/>
  <c r="I15" i="13"/>
  <c r="G16" i="13"/>
  <c r="G17" i="13"/>
  <c r="G15" i="13"/>
  <c r="G8" i="13"/>
  <c r="M9" i="13"/>
  <c r="K9" i="13"/>
  <c r="I9" i="13"/>
  <c r="G9" i="13"/>
  <c r="G9" i="15"/>
  <c r="K53" i="15"/>
  <c r="I53" i="15"/>
  <c r="G53" i="15"/>
  <c r="O66" i="14"/>
  <c r="O60" i="14"/>
  <c r="AO29" i="12"/>
  <c r="AO31" i="12" s="1"/>
  <c r="AO18" i="12"/>
  <c r="AO13" i="12"/>
  <c r="AO11" i="12"/>
  <c r="AO4" i="12"/>
  <c r="L66" i="14"/>
  <c r="L60" i="14"/>
  <c r="AK34" i="12"/>
  <c r="AK29" i="12"/>
  <c r="AK31" i="12" s="1"/>
  <c r="AK36" i="12" s="1"/>
  <c r="AO34" i="12" s="1"/>
  <c r="AK18" i="12"/>
  <c r="AK13" i="12"/>
  <c r="AK11" i="12"/>
  <c r="AK4" i="12"/>
  <c r="I66" i="14"/>
  <c r="I60" i="14"/>
  <c r="AG4" i="12"/>
  <c r="AG34" i="12"/>
  <c r="AG18" i="12"/>
  <c r="AG13" i="12"/>
  <c r="AG11" i="12"/>
  <c r="O23" i="14"/>
  <c r="L23" i="14"/>
  <c r="I23" i="14"/>
  <c r="F23" i="14"/>
  <c r="C23" i="14"/>
  <c r="I50" i="14"/>
  <c r="F60" i="14"/>
  <c r="C60" i="14"/>
  <c r="C66" i="14" s="1"/>
  <c r="F66" i="14" s="1"/>
  <c r="L62" i="14"/>
  <c r="L64" i="14" s="1"/>
  <c r="I62" i="14"/>
  <c r="I64" i="14" s="1"/>
  <c r="F62" i="14"/>
  <c r="F64" i="14" s="1"/>
  <c r="C62" i="14"/>
  <c r="C64" i="14" s="1"/>
  <c r="O66" i="10"/>
  <c r="O60" i="10"/>
  <c r="AO36" i="12" l="1"/>
  <c r="O62" i="14"/>
  <c r="O64" i="14" s="1"/>
  <c r="F50" i="14"/>
  <c r="U11" i="12" l="1"/>
  <c r="Y11" i="12"/>
  <c r="AC11" i="12"/>
  <c r="U18" i="12"/>
  <c r="Y18" i="12"/>
  <c r="AC18" i="12"/>
  <c r="F21" i="10"/>
  <c r="C22" i="10"/>
  <c r="O39" i="14"/>
  <c r="F39" i="14"/>
  <c r="L39" i="10"/>
  <c r="C38" i="10"/>
  <c r="O33" i="14"/>
  <c r="L33" i="14"/>
  <c r="I33" i="14"/>
  <c r="F33" i="14"/>
  <c r="C33" i="14"/>
  <c r="O33" i="10"/>
  <c r="L33" i="10"/>
  <c r="I33" i="10"/>
  <c r="F33" i="10"/>
  <c r="C33" i="10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O62" i="10"/>
  <c r="O64" i="10" s="1"/>
  <c r="L62" i="10"/>
  <c r="I62" i="10"/>
  <c r="F62" i="10"/>
  <c r="C62" i="10"/>
  <c r="F24" i="10" l="1"/>
  <c r="I24" i="10" s="1"/>
  <c r="L24" i="10" s="1"/>
  <c r="O24" i="10" s="1"/>
  <c r="C24" i="14" s="1"/>
  <c r="F24" i="14" s="1"/>
  <c r="I24" i="14" s="1"/>
  <c r="L24" i="14" s="1"/>
  <c r="O24" i="14" s="1"/>
  <c r="F23" i="10" l="1"/>
  <c r="F22" i="10" l="1"/>
  <c r="O55" i="14"/>
  <c r="L55" i="14"/>
  <c r="I55" i="14"/>
  <c r="F55" i="14"/>
  <c r="C55" i="14"/>
  <c r="M45" i="15" l="1"/>
  <c r="K45" i="15"/>
  <c r="I45" i="15"/>
  <c r="G45" i="15"/>
  <c r="E45" i="15"/>
  <c r="M37" i="15"/>
  <c r="M47" i="15" s="1"/>
  <c r="K37" i="15"/>
  <c r="K47" i="15" s="1"/>
  <c r="I37" i="15"/>
  <c r="I47" i="15" s="1"/>
  <c r="G37" i="15"/>
  <c r="G47" i="15" s="1"/>
  <c r="E37" i="15"/>
  <c r="E47" i="15" s="1"/>
  <c r="M26" i="15"/>
  <c r="K26" i="15"/>
  <c r="I26" i="15"/>
  <c r="G26" i="15"/>
  <c r="E26" i="15"/>
  <c r="M19" i="15"/>
  <c r="K19" i="15"/>
  <c r="I19" i="15"/>
  <c r="G19" i="15"/>
  <c r="E19" i="15"/>
  <c r="M11" i="15"/>
  <c r="M28" i="15" s="1"/>
  <c r="K11" i="15"/>
  <c r="K28" i="15" s="1"/>
  <c r="I11" i="15"/>
  <c r="I28" i="15" s="1"/>
  <c r="E11" i="15"/>
  <c r="E28" i="15" s="1"/>
  <c r="O55" i="10" l="1"/>
  <c r="L55" i="10"/>
  <c r="I55" i="10"/>
  <c r="F55" i="10"/>
  <c r="C55" i="10"/>
  <c r="F40" i="14"/>
  <c r="I40" i="14" s="1"/>
  <c r="L40" i="14" s="1"/>
  <c r="O40" i="14" s="1"/>
  <c r="F37" i="14"/>
  <c r="I37" i="14" s="1"/>
  <c r="L37" i="14" s="1"/>
  <c r="O37" i="14" s="1"/>
  <c r="F36" i="14"/>
  <c r="I36" i="14" s="1"/>
  <c r="L36" i="14" s="1"/>
  <c r="O36" i="14" s="1"/>
  <c r="F34" i="14"/>
  <c r="I34" i="14" s="1"/>
  <c r="L34" i="14" s="1"/>
  <c r="O34" i="14" s="1"/>
  <c r="F32" i="14"/>
  <c r="I32" i="14" s="1"/>
  <c r="L32" i="14" s="1"/>
  <c r="O32" i="14" s="1"/>
  <c r="F31" i="14"/>
  <c r="I31" i="14" s="1"/>
  <c r="L31" i="14" s="1"/>
  <c r="O31" i="14" s="1"/>
  <c r="F29" i="14"/>
  <c r="I29" i="14" s="1"/>
  <c r="L29" i="14" s="1"/>
  <c r="O29" i="14" s="1"/>
  <c r="Q18" i="12"/>
  <c r="Q11" i="12"/>
  <c r="M18" i="12" l="1"/>
  <c r="M11" i="12"/>
  <c r="I18" i="12"/>
  <c r="I11" i="12"/>
  <c r="E34" i="12" l="1"/>
  <c r="E18" i="12"/>
  <c r="E11" i="12"/>
  <c r="M45" i="13"/>
  <c r="M37" i="13"/>
  <c r="M47" i="13" s="1"/>
  <c r="M26" i="13"/>
  <c r="M19" i="13"/>
  <c r="M11" i="13"/>
  <c r="M28" i="13" s="1"/>
  <c r="K45" i="13"/>
  <c r="K37" i="13"/>
  <c r="K47" i="13" s="1"/>
  <c r="K26" i="13"/>
  <c r="K19" i="13"/>
  <c r="K11" i="13"/>
  <c r="K28" i="13" s="1"/>
  <c r="I45" i="13"/>
  <c r="I37" i="13"/>
  <c r="I47" i="13" s="1"/>
  <c r="I26" i="13"/>
  <c r="I19" i="13"/>
  <c r="I11" i="13"/>
  <c r="I28" i="13" s="1"/>
  <c r="G45" i="13"/>
  <c r="G37" i="13"/>
  <c r="G47" i="13" s="1"/>
  <c r="G26" i="13"/>
  <c r="G19" i="13"/>
  <c r="E56" i="13"/>
  <c r="E45" i="13"/>
  <c r="E37" i="13"/>
  <c r="E47" i="13" s="1"/>
  <c r="E26" i="13"/>
  <c r="E19" i="13"/>
  <c r="E11" i="13"/>
  <c r="E28" i="13" s="1"/>
  <c r="E59" i="13" l="1"/>
  <c r="F40" i="10"/>
  <c r="I40" i="10" s="1"/>
  <c r="L40" i="10" s="1"/>
  <c r="O40" i="10" s="1"/>
  <c r="I37" i="10"/>
  <c r="L37" i="10" s="1"/>
  <c r="O37" i="10" s="1"/>
  <c r="F36" i="10"/>
  <c r="I36" i="10" s="1"/>
  <c r="L36" i="10" s="1"/>
  <c r="O36" i="10" s="1"/>
  <c r="F34" i="10"/>
  <c r="I34" i="10" s="1"/>
  <c r="L34" i="10" s="1"/>
  <c r="O34" i="10" s="1"/>
  <c r="F32" i="10"/>
  <c r="I32" i="10" s="1"/>
  <c r="L32" i="10" s="1"/>
  <c r="O32" i="10" s="1"/>
  <c r="F31" i="10"/>
  <c r="I31" i="10" s="1"/>
  <c r="L31" i="10" s="1"/>
  <c r="O31" i="10" s="1"/>
  <c r="F29" i="10"/>
  <c r="I29" i="10" s="1"/>
  <c r="L29" i="10" s="1"/>
  <c r="O29" i="10" s="1"/>
  <c r="I21" i="10"/>
  <c r="I23" i="10" l="1"/>
  <c r="I22" i="10"/>
  <c r="L21" i="10"/>
  <c r="C4" i="10"/>
  <c r="C23" i="10"/>
  <c r="C14" i="10"/>
  <c r="L22" i="10" l="1"/>
  <c r="O21" i="10"/>
  <c r="O22" i="10" s="1"/>
  <c r="O23" i="10"/>
  <c r="L23" i="10"/>
  <c r="C5" i="10"/>
  <c r="C30" i="10" s="1"/>
  <c r="C6" i="10"/>
  <c r="C7" i="10"/>
  <c r="C9" i="10"/>
  <c r="C12" i="10"/>
  <c r="C13" i="10"/>
  <c r="C21" i="14" l="1"/>
  <c r="C16" i="10"/>
  <c r="D16" i="10" s="1"/>
  <c r="C18" i="10"/>
  <c r="D18" i="10" s="1"/>
  <c r="F21" i="14" l="1"/>
  <c r="C22" i="14"/>
  <c r="E4" i="1"/>
  <c r="E5" i="1"/>
  <c r="E3" i="1"/>
  <c r="I21" i="14" l="1"/>
  <c r="F22" i="14"/>
  <c r="E29" i="12"/>
  <c r="L21" i="14" l="1"/>
  <c r="I22" i="14"/>
  <c r="I4" i="14"/>
  <c r="I38" i="14" s="1"/>
  <c r="O21" i="14" l="1"/>
  <c r="O22" i="14" s="1"/>
  <c r="L22" i="14"/>
  <c r="I14" i="14"/>
  <c r="I5" i="14"/>
  <c r="I30" i="14" s="1"/>
  <c r="I6" i="14"/>
  <c r="I7" i="14"/>
  <c r="I9" i="14"/>
  <c r="I12" i="14"/>
  <c r="I13" i="14"/>
  <c r="I16" i="14" l="1"/>
  <c r="J16" i="14" s="1"/>
  <c r="I18" i="14"/>
  <c r="J18" i="14" l="1"/>
  <c r="O4" i="14" l="1"/>
  <c r="O38" i="14" s="1"/>
  <c r="L4" i="14"/>
  <c r="L38" i="14" s="1"/>
  <c r="L14" i="14" l="1"/>
  <c r="L5" i="14"/>
  <c r="L30" i="14" s="1"/>
  <c r="L6" i="14"/>
  <c r="L7" i="14"/>
  <c r="L9" i="14"/>
  <c r="L12" i="14"/>
  <c r="L13" i="14"/>
  <c r="O14" i="14"/>
  <c r="O5" i="14"/>
  <c r="O30" i="14" s="1"/>
  <c r="O6" i="14"/>
  <c r="O7" i="14"/>
  <c r="O9" i="14"/>
  <c r="O12" i="14"/>
  <c r="O13" i="14"/>
  <c r="O16" i="14" l="1"/>
  <c r="P16" i="14" s="1"/>
  <c r="O18" i="14"/>
  <c r="L16" i="14"/>
  <c r="M16" i="14" s="1"/>
  <c r="L18" i="14"/>
  <c r="M18" i="14" l="1"/>
  <c r="P18" i="14"/>
  <c r="C42" i="10"/>
  <c r="D42" i="10" s="1"/>
  <c r="C44" i="10"/>
  <c r="C52" i="10" l="1"/>
  <c r="C54" i="10" s="1"/>
  <c r="C57" i="10" s="1"/>
  <c r="C46" i="10"/>
  <c r="C48" i="10" s="1"/>
  <c r="D44" i="10"/>
  <c r="G56" i="15" l="1"/>
  <c r="G59" i="15" s="1"/>
  <c r="G53" i="13"/>
  <c r="G56" i="13" s="1"/>
  <c r="G59" i="13" s="1"/>
  <c r="E4" i="12"/>
  <c r="E13" i="12" s="1"/>
  <c r="E31" i="12" s="1"/>
  <c r="E36" i="12" s="1"/>
  <c r="G26" i="12" s="1"/>
  <c r="G8" i="15" l="1"/>
  <c r="G11" i="15" s="1"/>
  <c r="G28" i="15" s="1"/>
  <c r="I34" i="12"/>
  <c r="G11" i="13"/>
  <c r="G28" i="13" s="1"/>
  <c r="I29" i="12" l="1"/>
  <c r="F50" i="10"/>
  <c r="F4" i="10" s="1"/>
  <c r="F38" i="10" l="1"/>
  <c r="F14" i="10"/>
  <c r="F6" i="10"/>
  <c r="F7" i="10"/>
  <c r="F13" i="10"/>
  <c r="F5" i="10"/>
  <c r="F30" i="10" s="1"/>
  <c r="F42" i="10" s="1"/>
  <c r="G42" i="10" s="1"/>
  <c r="F12" i="10"/>
  <c r="F16" i="10" s="1"/>
  <c r="G16" i="10" s="1"/>
  <c r="F9" i="10"/>
  <c r="F18" i="10" s="1"/>
  <c r="G18" i="10" l="1"/>
  <c r="F44" i="10"/>
  <c r="F52" i="10" l="1"/>
  <c r="F54" i="10" s="1"/>
  <c r="F57" i="10" s="1"/>
  <c r="F46" i="10"/>
  <c r="G44" i="10"/>
  <c r="F48" i="10"/>
  <c r="I56" i="15" l="1"/>
  <c r="I59" i="15" s="1"/>
  <c r="I53" i="13"/>
  <c r="I56" i="13" s="1"/>
  <c r="I59" i="13" s="1"/>
  <c r="I4" i="12"/>
  <c r="I13" i="12" s="1"/>
  <c r="I31" i="12" s="1"/>
  <c r="I36" i="12" l="1"/>
  <c r="K26" i="12" s="1"/>
  <c r="M34" i="12"/>
  <c r="M29" i="12" l="1"/>
  <c r="I50" i="10"/>
  <c r="I4" i="10" s="1"/>
  <c r="I14" i="10" l="1"/>
  <c r="I38" i="10"/>
  <c r="I6" i="10"/>
  <c r="I7" i="10"/>
  <c r="I13" i="10"/>
  <c r="I5" i="10"/>
  <c r="I30" i="10" s="1"/>
  <c r="I42" i="10" s="1"/>
  <c r="J42" i="10" s="1"/>
  <c r="I12" i="10"/>
  <c r="I16" i="10" s="1"/>
  <c r="J16" i="10" s="1"/>
  <c r="I9" i="10"/>
  <c r="I18" i="10" s="1"/>
  <c r="J18" i="10" l="1"/>
  <c r="I44" i="10"/>
  <c r="I52" i="10" l="1"/>
  <c r="I54" i="10" s="1"/>
  <c r="I57" i="10" s="1"/>
  <c r="I46" i="10"/>
  <c r="J44" i="10"/>
  <c r="I48" i="10"/>
  <c r="K56" i="15" l="1"/>
  <c r="K59" i="15" s="1"/>
  <c r="K53" i="13"/>
  <c r="K56" i="13" s="1"/>
  <c r="K59" i="13" s="1"/>
  <c r="M4" i="12"/>
  <c r="M13" i="12" s="1"/>
  <c r="M31" i="12" s="1"/>
  <c r="M36" i="12" l="1"/>
  <c r="O26" i="12" s="1"/>
  <c r="Q34" i="12"/>
  <c r="Q29" i="12" l="1"/>
  <c r="L50" i="10"/>
  <c r="L4" i="10" s="1"/>
  <c r="L38" i="10" l="1"/>
  <c r="L14" i="10"/>
  <c r="L6" i="10"/>
  <c r="L7" i="10"/>
  <c r="L13" i="10"/>
  <c r="L5" i="10"/>
  <c r="L30" i="10" s="1"/>
  <c r="L42" i="10" s="1"/>
  <c r="M42" i="10" s="1"/>
  <c r="L12" i="10"/>
  <c r="L16" i="10" s="1"/>
  <c r="M16" i="10" s="1"/>
  <c r="L9" i="10"/>
  <c r="L18" i="10" s="1"/>
  <c r="M18" i="10" l="1"/>
  <c r="L44" i="10"/>
  <c r="I42" i="14"/>
  <c r="O42" i="14" l="1"/>
  <c r="L42" i="14"/>
  <c r="J42" i="14"/>
  <c r="I44" i="14"/>
  <c r="L52" i="10"/>
  <c r="L54" i="10" s="1"/>
  <c r="L57" i="10" s="1"/>
  <c r="L46" i="10"/>
  <c r="M44" i="10"/>
  <c r="L48" i="10"/>
  <c r="M53" i="15" l="1"/>
  <c r="M56" i="15" s="1"/>
  <c r="M59" i="15" s="1"/>
  <c r="M53" i="13"/>
  <c r="M56" i="13" s="1"/>
  <c r="M59" i="13" s="1"/>
  <c r="Q4" i="12"/>
  <c r="Q13" i="12" s="1"/>
  <c r="Q31" i="12" s="1"/>
  <c r="I52" i="14"/>
  <c r="I46" i="14"/>
  <c r="I48" i="14" s="1"/>
  <c r="J44" i="14"/>
  <c r="M42" i="14"/>
  <c r="L44" i="14"/>
  <c r="P42" i="14"/>
  <c r="O44" i="14"/>
  <c r="I54" i="14" l="1"/>
  <c r="I57" i="14" s="1"/>
  <c r="Q36" i="12"/>
  <c r="O52" i="14"/>
  <c r="O54" i="14" s="1"/>
  <c r="O57" i="14" s="1"/>
  <c r="O46" i="14"/>
  <c r="O48" i="14" s="1"/>
  <c r="P44" i="14"/>
  <c r="L52" i="14"/>
  <c r="L54" i="14" s="1"/>
  <c r="L57" i="14" s="1"/>
  <c r="L46" i="14"/>
  <c r="L48" i="14" s="1"/>
  <c r="M44" i="14"/>
  <c r="U34" i="12" l="1"/>
  <c r="U29" i="12" l="1"/>
  <c r="O50" i="10"/>
  <c r="O4" i="10" s="1"/>
  <c r="O14" i="10" l="1"/>
  <c r="O5" i="10"/>
  <c r="O12" i="10"/>
  <c r="O6" i="10"/>
  <c r="O7" i="10"/>
  <c r="O13" i="10"/>
  <c r="O38" i="10"/>
  <c r="O16" i="10" l="1"/>
  <c r="P16" i="10" s="1"/>
  <c r="O30" i="10"/>
  <c r="O42" i="10" s="1"/>
  <c r="P42" i="10" s="1"/>
  <c r="O9" i="10"/>
  <c r="O18" i="10" s="1"/>
  <c r="P18" i="10" l="1"/>
  <c r="O44" i="10"/>
  <c r="O52" i="10" l="1"/>
  <c r="O54" i="10" s="1"/>
  <c r="O57" i="10" s="1"/>
  <c r="P44" i="10"/>
  <c r="O46" i="10"/>
  <c r="O48" i="10"/>
  <c r="U4" i="12" l="1"/>
  <c r="U13" i="12" s="1"/>
  <c r="U31" i="12" s="1"/>
  <c r="U36" i="12" s="1"/>
  <c r="Y34" i="12" s="1"/>
  <c r="E53" i="15"/>
  <c r="E56" i="15" s="1"/>
  <c r="E59" i="15" s="1"/>
  <c r="Y29" i="12"/>
  <c r="C50" i="14"/>
  <c r="C4" i="14"/>
  <c r="C38" i="14" s="1"/>
  <c r="F4" i="14"/>
  <c r="F38" i="14" s="1"/>
  <c r="F12" i="14" l="1"/>
  <c r="F5" i="14"/>
  <c r="C12" i="14"/>
  <c r="C5" i="14"/>
  <c r="C13" i="14"/>
  <c r="C7" i="14"/>
  <c r="C6" i="14"/>
  <c r="C14" i="14"/>
  <c r="F13" i="14"/>
  <c r="F7" i="14"/>
  <c r="F6" i="14"/>
  <c r="F14" i="14"/>
  <c r="C30" i="14" l="1"/>
  <c r="C42" i="14" s="1"/>
  <c r="D42" i="14" s="1"/>
  <c r="C9" i="14"/>
  <c r="C16" i="14"/>
  <c r="D16" i="14" s="1"/>
  <c r="F30" i="14"/>
  <c r="F42" i="14" s="1"/>
  <c r="G42" i="14" s="1"/>
  <c r="F9" i="14"/>
  <c r="F16" i="14"/>
  <c r="G16" i="14" s="1"/>
  <c r="F18" i="14" l="1"/>
  <c r="C18" i="14"/>
  <c r="D18" i="14" l="1"/>
  <c r="C44" i="14"/>
  <c r="G18" i="14"/>
  <c r="F44" i="14"/>
  <c r="F52" i="14" l="1"/>
  <c r="F54" i="14" s="1"/>
  <c r="F57" i="14" s="1"/>
  <c r="F46" i="14"/>
  <c r="G44" i="14"/>
  <c r="F48" i="14"/>
  <c r="AC4" i="12" s="1"/>
  <c r="C52" i="14"/>
  <c r="C54" i="14" s="1"/>
  <c r="C57" i="14" s="1"/>
  <c r="C46" i="14"/>
  <c r="D44" i="14"/>
  <c r="C48" i="14"/>
  <c r="Y4" i="12" l="1"/>
  <c r="Y13" i="12" s="1"/>
  <c r="Y31" i="12" s="1"/>
  <c r="Y36" i="12" s="1"/>
  <c r="AC34" i="12" s="1"/>
  <c r="AC13" i="12"/>
  <c r="AC29" i="12"/>
  <c r="AC31" i="12"/>
  <c r="AC36" i="12" s="1"/>
  <c r="AG29" i="12"/>
  <c r="AG31" i="12" s="1"/>
  <c r="AG36" i="12" s="1"/>
</calcChain>
</file>

<file path=xl/sharedStrings.xml><?xml version="1.0" encoding="utf-8"?>
<sst xmlns="http://schemas.openxmlformats.org/spreadsheetml/2006/main" count="224" uniqueCount="107">
  <si>
    <t>Average Loan Balance</t>
  </si>
  <si>
    <t>Average Interest Rate</t>
  </si>
  <si>
    <t>Gross Income</t>
  </si>
  <si>
    <t>Gross Revenue</t>
  </si>
  <si>
    <t>Cost of Sales</t>
  </si>
  <si>
    <t xml:space="preserve">     Title Loan Interest</t>
  </si>
  <si>
    <t xml:space="preserve"> </t>
  </si>
  <si>
    <t xml:space="preserve">     Bad Debts</t>
  </si>
  <si>
    <t xml:space="preserve">     Repo Costs</t>
  </si>
  <si>
    <t xml:space="preserve">     Credit Card Fees</t>
  </si>
  <si>
    <t xml:space="preserve">     Late Fees</t>
  </si>
  <si>
    <t xml:space="preserve">     Charge Off Income</t>
  </si>
  <si>
    <t xml:space="preserve">     Lien Change Fees</t>
  </si>
  <si>
    <t>Total Gross Revenue</t>
  </si>
  <si>
    <t>Total Cost of Sales</t>
  </si>
  <si>
    <t>Gross Profit</t>
  </si>
  <si>
    <t>Expenses</t>
  </si>
  <si>
    <t xml:space="preserve">     Wages</t>
  </si>
  <si>
    <t xml:space="preserve">     Employee Benefits</t>
  </si>
  <si>
    <t xml:space="preserve">     Payroll Tax</t>
  </si>
  <si>
    <t xml:space="preserve">     Rent/Lease</t>
  </si>
  <si>
    <t xml:space="preserve">     Maintenance &amp; Repairs</t>
  </si>
  <si>
    <t xml:space="preserve">     Discount Credit Card Fees</t>
  </si>
  <si>
    <t xml:space="preserve">     Bank Charges</t>
  </si>
  <si>
    <t xml:space="preserve">     Travel</t>
  </si>
  <si>
    <t xml:space="preserve">     Utilities</t>
  </si>
  <si>
    <t xml:space="preserve">     Office Supplies</t>
  </si>
  <si>
    <t xml:space="preserve">     Advertising</t>
  </si>
  <si>
    <t xml:space="preserve">     Permits &amp; Licenses</t>
  </si>
  <si>
    <t xml:space="preserve">     Legal &amp; Accounting Fees</t>
  </si>
  <si>
    <t xml:space="preserve">     Postage</t>
  </si>
  <si>
    <t xml:space="preserve">     Insurance</t>
  </si>
  <si>
    <t>Total Expenses</t>
  </si>
  <si>
    <t>Net Income</t>
  </si>
  <si>
    <t xml:space="preserve">     Automobile</t>
  </si>
  <si>
    <t>Average Title Loan Portfolio Balance</t>
  </si>
  <si>
    <t xml:space="preserve">     Interest on Seller Note</t>
  </si>
  <si>
    <t>Assets</t>
  </si>
  <si>
    <t xml:space="preserve">     Current Assets</t>
  </si>
  <si>
    <t xml:space="preserve">       </t>
  </si>
  <si>
    <t>Cash on Hand</t>
  </si>
  <si>
    <t>Checking Accounts</t>
  </si>
  <si>
    <t xml:space="preserve">       Total Current Assets</t>
  </si>
  <si>
    <t xml:space="preserve">     Property &amp; Equipment</t>
  </si>
  <si>
    <t>Computer Equipment</t>
  </si>
  <si>
    <t>Leasehold Improvements</t>
  </si>
  <si>
    <t>Fixtures/Equipment/Real Property</t>
  </si>
  <si>
    <t xml:space="preserve">       Total Property &amp; Equipment</t>
  </si>
  <si>
    <t xml:space="preserve">          Total Assets</t>
  </si>
  <si>
    <t xml:space="preserve">     Other Assets</t>
  </si>
  <si>
    <t>Goodwill</t>
  </si>
  <si>
    <t>Other</t>
  </si>
  <si>
    <t xml:space="preserve">       Total Other Assets</t>
  </si>
  <si>
    <t>Liabilities and Capital</t>
  </si>
  <si>
    <t xml:space="preserve">     Current Liabilities</t>
  </si>
  <si>
    <t>Accounts Payable</t>
  </si>
  <si>
    <t xml:space="preserve">       Total Current Liabilities</t>
  </si>
  <si>
    <t xml:space="preserve">     Long-Term Liabilities</t>
  </si>
  <si>
    <t>Jarrod Clarke Note Payable</t>
  </si>
  <si>
    <t xml:space="preserve">     Capital</t>
  </si>
  <si>
    <t xml:space="preserve">       Total Liabilities</t>
  </si>
  <si>
    <t>Beginning Balance Equity</t>
  </si>
  <si>
    <t>Retained Earnings</t>
  </si>
  <si>
    <t xml:space="preserve">       Total Capital</t>
  </si>
  <si>
    <t xml:space="preserve">          Total Liabilities and Capital</t>
  </si>
  <si>
    <t xml:space="preserve">       Total Long-Term Liabilities</t>
  </si>
  <si>
    <t>Net Income (After Taxes)</t>
  </si>
  <si>
    <t>Income Tax Expense</t>
  </si>
  <si>
    <t>Income before Income Taxes</t>
  </si>
  <si>
    <t>Cash Flow from Operating Activities</t>
  </si>
  <si>
    <t xml:space="preserve">       Adjustments to reconcile net income to net cash</t>
  </si>
  <si>
    <t xml:space="preserve">         Accounts receivable decrease</t>
  </si>
  <si>
    <t xml:space="preserve">         Prepaid Expense increase</t>
  </si>
  <si>
    <t xml:space="preserve">         Account Payable Increase</t>
  </si>
  <si>
    <t xml:space="preserve">         Depreciation</t>
  </si>
  <si>
    <t xml:space="preserve">     Depreciation &amp; Amortization</t>
  </si>
  <si>
    <t xml:space="preserve">       Net Cash Provided by Operating Activities</t>
  </si>
  <si>
    <t xml:space="preserve">      Investing Activities</t>
  </si>
  <si>
    <t xml:space="preserve">         Leasehold improvements</t>
  </si>
  <si>
    <t xml:space="preserve">         Other</t>
  </si>
  <si>
    <t xml:space="preserve">       Financing Activities</t>
  </si>
  <si>
    <t xml:space="preserve">         Borrowings to finance title loan growth</t>
  </si>
  <si>
    <t xml:space="preserve">         Distribution to Class B Members</t>
  </si>
  <si>
    <t xml:space="preserve">         Distribution to Class A Members</t>
  </si>
  <si>
    <t xml:space="preserve">     Net Increase in Cash</t>
  </si>
  <si>
    <t>Cash at Beginning of Year</t>
  </si>
  <si>
    <t>Cash at End of Year</t>
  </si>
  <si>
    <t xml:space="preserve">     Interest on Senior Debt</t>
  </si>
  <si>
    <t xml:space="preserve">     Interest on Mezzanine Debt</t>
  </si>
  <si>
    <t xml:space="preserve">         Principle Payment on Senior Debt</t>
  </si>
  <si>
    <t xml:space="preserve">         Principle Payment on Mezzanine Debt</t>
  </si>
  <si>
    <t xml:space="preserve">         Cash Investment in Title Loans</t>
  </si>
  <si>
    <t xml:space="preserve">         Principle Payment on Seller Note</t>
  </si>
  <si>
    <t xml:space="preserve">     Net Income After Taxes</t>
  </si>
  <si>
    <t>EBITDA</t>
  </si>
  <si>
    <t>Enterprise Value at 4X EBITDA</t>
  </si>
  <si>
    <t>Less Debt</t>
  </si>
  <si>
    <t>Net Value</t>
  </si>
  <si>
    <t>Senior Debt Payable</t>
  </si>
  <si>
    <t>Mezzanine Debt Payable</t>
  </si>
  <si>
    <t>Title Loans Receivable</t>
  </si>
  <si>
    <t>Total P&amp;I Payments</t>
  </si>
  <si>
    <t>Payments per $100,000 investment</t>
  </si>
  <si>
    <t xml:space="preserve">         Computers/Office Equipment</t>
  </si>
  <si>
    <t>Interest Payments to Class B Interests</t>
  </si>
  <si>
    <t>Principle Payments to Class B Interest</t>
  </si>
  <si>
    <t>Aggregate Principle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</si>
</sst>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_);_(&quot;$&quot;* \(#,##0\);_(&quot;$&quot;* &quot;-&quot;?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164" fontId="0" fillId="0" borderId="0" xfId="1" applyNumberFormat="1" applyFont="1"/>
    <xf numFmtId="9" fontId="0" fillId="0" borderId="0" xfId="2" applyFont="1" applyAlignment="1">
      <alignment wrapText="1"/>
    </xf>
    <xf numFmtId="164" fontId="0" fillId="0" borderId="0" xfId="0" applyNumberFormat="1"/>
    <xf numFmtId="165" fontId="0" fillId="0" borderId="0" xfId="0" applyNumberFormat="1"/>
    <xf numFmtId="164" fontId="0" fillId="0" borderId="1" xfId="1" applyNumberFormat="1" applyFont="1" applyBorder="1"/>
    <xf numFmtId="0" fontId="2" fillId="0" borderId="0" xfId="0" applyFont="1"/>
    <xf numFmtId="164" fontId="0" fillId="0" borderId="1" xfId="0" applyNumberFormat="1" applyBorder="1"/>
    <xf numFmtId="0" fontId="0" fillId="0" borderId="0" xfId="0" applyFont="1"/>
    <xf numFmtId="10" fontId="0" fillId="0" borderId="0" xfId="2" applyNumberFormat="1" applyFont="1"/>
    <xf numFmtId="0" fontId="0" fillId="0" borderId="1" xfId="0" applyBorder="1" applyAlignment="1">
      <alignment horizontal="center"/>
    </xf>
    <xf numFmtId="164" fontId="3" fillId="0" borderId="0" xfId="1" applyNumberFormat="1" applyFont="1"/>
    <xf numFmtId="14" fontId="0" fillId="0" borderId="0" xfId="0" applyNumberFormat="1"/>
    <xf numFmtId="14" fontId="0" fillId="0" borderId="1" xfId="0" applyNumberFormat="1" applyBorder="1"/>
    <xf numFmtId="164" fontId="1" fillId="0" borderId="1" xfId="1" applyNumberFormat="1" applyFont="1" applyBorder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M26" sqref="M26"/>
    </sheetView>
  </sheetViews>
  <sheetFormatPr defaultRowHeight="15" x14ac:dyDescent="0.25"/>
  <cols>
    <col min="1" max="1" width="15" customWidth="1"/>
    <col min="2" max="2" width="5.7109375" customWidth="1"/>
    <col min="3" max="3" width="8.85546875" style="1" customWidth="1"/>
    <col min="4" max="4" width="5.5703125" customWidth="1"/>
    <col min="5" max="5" width="13.42578125" customWidth="1"/>
  </cols>
  <sheetData>
    <row r="1" spans="1:7" ht="45" x14ac:dyDescent="0.25">
      <c r="A1" s="19" t="s">
        <v>0</v>
      </c>
      <c r="C1" s="1" t="s">
        <v>1</v>
      </c>
      <c r="E1" t="s">
        <v>2</v>
      </c>
    </row>
    <row r="2" spans="1:7" ht="9" customHeight="1" x14ac:dyDescent="0.25"/>
    <row r="3" spans="1:7" x14ac:dyDescent="0.25">
      <c r="A3" s="3">
        <v>1000000</v>
      </c>
      <c r="C3" s="4">
        <v>1.68</v>
      </c>
      <c r="E3" s="5">
        <f>A3*C3</f>
        <v>1680000</v>
      </c>
      <c r="G3" t="s">
        <v>6</v>
      </c>
    </row>
    <row r="4" spans="1:7" x14ac:dyDescent="0.25">
      <c r="A4" s="3">
        <v>2000000</v>
      </c>
      <c r="C4" s="4">
        <v>1.68</v>
      </c>
      <c r="E4" s="5">
        <f t="shared" ref="E4:E5" si="0">A4*C4</f>
        <v>3360000</v>
      </c>
      <c r="G4" t="s">
        <v>6</v>
      </c>
    </row>
    <row r="5" spans="1:7" x14ac:dyDescent="0.25">
      <c r="A5" s="3">
        <v>3000000</v>
      </c>
      <c r="C5" s="4">
        <v>1.68</v>
      </c>
      <c r="E5" s="5">
        <f t="shared" si="0"/>
        <v>5040000</v>
      </c>
    </row>
    <row r="6" spans="1:7" x14ac:dyDescent="0.25">
      <c r="A6" s="3">
        <v>4000000</v>
      </c>
      <c r="C6" s="4">
        <v>1.68</v>
      </c>
      <c r="E6" s="5">
        <f t="shared" ref="E6:E22" si="1">A6*C6</f>
        <v>6720000</v>
      </c>
    </row>
    <row r="7" spans="1:7" x14ac:dyDescent="0.25">
      <c r="A7" s="3">
        <v>5000000</v>
      </c>
      <c r="C7" s="4">
        <v>1.68</v>
      </c>
      <c r="E7" s="5">
        <f t="shared" si="1"/>
        <v>8400000</v>
      </c>
    </row>
    <row r="8" spans="1:7" x14ac:dyDescent="0.25">
      <c r="A8" s="3">
        <v>6000000</v>
      </c>
      <c r="C8" s="4">
        <v>1.68</v>
      </c>
      <c r="E8" s="5">
        <f t="shared" si="1"/>
        <v>10080000</v>
      </c>
    </row>
    <row r="9" spans="1:7" x14ac:dyDescent="0.25">
      <c r="A9" s="3">
        <v>7000000</v>
      </c>
      <c r="C9" s="4">
        <v>1.68</v>
      </c>
      <c r="E9" s="5">
        <f t="shared" si="1"/>
        <v>11760000</v>
      </c>
    </row>
    <row r="10" spans="1:7" x14ac:dyDescent="0.25">
      <c r="A10" s="3">
        <v>8000000</v>
      </c>
      <c r="C10" s="4">
        <v>1.68</v>
      </c>
      <c r="E10" s="5">
        <f t="shared" si="1"/>
        <v>13440000</v>
      </c>
    </row>
    <row r="11" spans="1:7" x14ac:dyDescent="0.25">
      <c r="A11" s="3">
        <v>9000000</v>
      </c>
      <c r="C11" s="4">
        <v>1.68</v>
      </c>
      <c r="E11" s="5">
        <f t="shared" si="1"/>
        <v>15120000</v>
      </c>
    </row>
    <row r="12" spans="1:7" x14ac:dyDescent="0.25">
      <c r="A12" s="3">
        <v>10000000</v>
      </c>
      <c r="C12" s="4">
        <v>1.68</v>
      </c>
      <c r="E12" s="5">
        <f t="shared" si="1"/>
        <v>16800000</v>
      </c>
    </row>
    <row r="13" spans="1:7" x14ac:dyDescent="0.25">
      <c r="A13" s="3">
        <v>11000000</v>
      </c>
      <c r="C13" s="4">
        <v>1.68</v>
      </c>
      <c r="E13" s="5">
        <f t="shared" si="1"/>
        <v>18480000</v>
      </c>
    </row>
    <row r="14" spans="1:7" x14ac:dyDescent="0.25">
      <c r="A14" s="3">
        <v>12000000</v>
      </c>
      <c r="C14" s="4">
        <v>1.68</v>
      </c>
      <c r="E14" s="5">
        <f t="shared" si="1"/>
        <v>20160000</v>
      </c>
    </row>
    <row r="15" spans="1:7" x14ac:dyDescent="0.25">
      <c r="A15" s="3">
        <v>13000000</v>
      </c>
      <c r="C15" s="4">
        <v>1.68</v>
      </c>
      <c r="E15" s="5">
        <f t="shared" si="1"/>
        <v>21840000</v>
      </c>
    </row>
    <row r="16" spans="1:7" x14ac:dyDescent="0.25">
      <c r="A16" s="3">
        <v>14000000</v>
      </c>
      <c r="C16" s="4">
        <v>1.68</v>
      </c>
      <c r="E16" s="5">
        <f t="shared" si="1"/>
        <v>23520000</v>
      </c>
    </row>
    <row r="17" spans="1:5" x14ac:dyDescent="0.25">
      <c r="A17" s="3">
        <v>15000000</v>
      </c>
      <c r="C17" s="4">
        <v>1.68</v>
      </c>
      <c r="E17" s="5">
        <f t="shared" si="1"/>
        <v>25200000</v>
      </c>
    </row>
    <row r="18" spans="1:5" x14ac:dyDescent="0.25">
      <c r="A18" s="3">
        <v>16000000</v>
      </c>
      <c r="C18" s="4">
        <v>1.68</v>
      </c>
      <c r="E18" s="5">
        <f t="shared" si="1"/>
        <v>26880000</v>
      </c>
    </row>
    <row r="19" spans="1:5" x14ac:dyDescent="0.25">
      <c r="A19" s="3">
        <v>17000000</v>
      </c>
      <c r="C19" s="4">
        <v>1.68</v>
      </c>
      <c r="E19" s="5">
        <f t="shared" si="1"/>
        <v>28560000</v>
      </c>
    </row>
    <row r="20" spans="1:5" x14ac:dyDescent="0.25">
      <c r="A20" s="3">
        <v>18000000</v>
      </c>
      <c r="C20" s="4">
        <v>1.68</v>
      </c>
      <c r="E20" s="5">
        <f t="shared" si="1"/>
        <v>30240000</v>
      </c>
    </row>
    <row r="21" spans="1:5" x14ac:dyDescent="0.25">
      <c r="A21" s="3">
        <v>19000000</v>
      </c>
      <c r="C21" s="4">
        <v>1.68</v>
      </c>
      <c r="E21" s="5">
        <f t="shared" si="1"/>
        <v>31920000</v>
      </c>
    </row>
    <row r="22" spans="1:5" x14ac:dyDescent="0.25">
      <c r="A22" s="3">
        <v>20000000</v>
      </c>
      <c r="C22" s="4">
        <v>1.68</v>
      </c>
      <c r="E22" s="5">
        <f t="shared" si="1"/>
        <v>33600000</v>
      </c>
    </row>
  </sheetData>
  <sortState ref="C3:C16">
    <sortCondition ref="C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zoomScaleNormal="100" workbookViewId="0">
      <selection activeCell="S17" sqref="S17"/>
    </sheetView>
  </sheetViews>
  <sheetFormatPr defaultRowHeight="15" x14ac:dyDescent="0.25"/>
  <cols>
    <col min="1" max="1" width="43.5703125" customWidth="1"/>
    <col min="2" max="2" width="4.140625" customWidth="1"/>
    <col min="3" max="3" width="13.42578125" customWidth="1"/>
    <col min="4" max="4" width="7.28515625" customWidth="1"/>
    <col min="5" max="5" width="2.140625" customWidth="1"/>
    <col min="6" max="6" width="12.42578125" customWidth="1"/>
    <col min="7" max="7" width="7.140625" customWidth="1"/>
    <col min="8" max="8" width="2.140625" customWidth="1"/>
    <col min="9" max="9" width="12.7109375" customWidth="1"/>
    <col min="10" max="10" width="7.140625" customWidth="1"/>
    <col min="11" max="11" width="2.140625" customWidth="1"/>
    <col min="12" max="12" width="13.5703125" customWidth="1"/>
    <col min="13" max="13" width="6.85546875" customWidth="1"/>
    <col min="14" max="14" width="2.140625" customWidth="1"/>
    <col min="15" max="15" width="13" customWidth="1"/>
    <col min="16" max="16" width="7" customWidth="1"/>
  </cols>
  <sheetData>
    <row r="1" spans="1:16" x14ac:dyDescent="0.25">
      <c r="C1" s="12">
        <v>2014</v>
      </c>
      <c r="F1" s="12">
        <v>2015</v>
      </c>
      <c r="I1" s="12">
        <v>2016</v>
      </c>
      <c r="L1" s="12">
        <v>2017</v>
      </c>
      <c r="O1" s="12">
        <v>2018</v>
      </c>
    </row>
    <row r="2" spans="1:16" ht="5.25" customHeight="1" x14ac:dyDescent="0.25"/>
    <row r="3" spans="1:16" x14ac:dyDescent="0.25">
      <c r="A3" s="8" t="s">
        <v>3</v>
      </c>
      <c r="C3" s="3" t="s">
        <v>6</v>
      </c>
    </row>
    <row r="4" spans="1:16" x14ac:dyDescent="0.25">
      <c r="A4" t="s">
        <v>5</v>
      </c>
      <c r="C4" s="3">
        <f>1.68*C50</f>
        <v>6384000</v>
      </c>
      <c r="F4" s="3">
        <f>1.68*F50</f>
        <v>7730895.3291937914</v>
      </c>
      <c r="H4" s="5" t="s">
        <v>6</v>
      </c>
      <c r="I4" s="3">
        <f>1.68*I50</f>
        <v>9174226.6171421818</v>
      </c>
      <c r="L4" s="3">
        <f>1.68*L50</f>
        <v>11558766.981906779</v>
      </c>
      <c r="M4" s="11"/>
      <c r="O4" s="3">
        <f>1.68*O50</f>
        <v>14957257.307916773</v>
      </c>
    </row>
    <row r="5" spans="1:16" x14ac:dyDescent="0.25">
      <c r="A5" t="s">
        <v>9</v>
      </c>
      <c r="C5" s="3">
        <f>C4*0.0064</f>
        <v>40857.599999999999</v>
      </c>
      <c r="F5" s="3">
        <f>F4*0.0064</f>
        <v>49477.730106840267</v>
      </c>
      <c r="I5" s="3">
        <f>I4*0.0064</f>
        <v>58715.050349709963</v>
      </c>
      <c r="L5" s="3">
        <f>L4*0.0064</f>
        <v>73976.108684203384</v>
      </c>
      <c r="M5" s="11"/>
      <c r="O5" s="3">
        <f>O4*0.0064</f>
        <v>95726.44677066736</v>
      </c>
    </row>
    <row r="6" spans="1:16" x14ac:dyDescent="0.25">
      <c r="A6" t="s">
        <v>10</v>
      </c>
      <c r="C6" s="3">
        <f>0.0319*C4</f>
        <v>203649.59999999998</v>
      </c>
      <c r="F6" s="3">
        <f>0.0319*F4</f>
        <v>246615.56100128192</v>
      </c>
      <c r="I6" s="3">
        <f>0.0319*I4</f>
        <v>292657.82908683555</v>
      </c>
      <c r="L6" s="3">
        <f>0.0319*L4</f>
        <v>368724.66672282625</v>
      </c>
      <c r="M6" s="11"/>
      <c r="O6" s="3">
        <f>0.0319*O4</f>
        <v>477136.50812254503</v>
      </c>
    </row>
    <row r="7" spans="1:16" x14ac:dyDescent="0.25">
      <c r="A7" t="s">
        <v>11</v>
      </c>
      <c r="C7" s="7">
        <f>0.005*C4</f>
        <v>31920</v>
      </c>
      <c r="F7" s="7">
        <f>0.005*F4</f>
        <v>38654.476645968956</v>
      </c>
      <c r="I7" s="7">
        <f>0.005*I4</f>
        <v>45871.133085710913</v>
      </c>
      <c r="L7" s="7">
        <f>0.005*L4</f>
        <v>57793.8349095339</v>
      </c>
      <c r="M7" s="11"/>
      <c r="O7" s="7">
        <f>0.005*O4</f>
        <v>74786.286539583874</v>
      </c>
    </row>
    <row r="8" spans="1:16" x14ac:dyDescent="0.25">
      <c r="C8" s="3"/>
      <c r="F8" s="3"/>
      <c r="I8" s="3"/>
      <c r="L8" s="3"/>
      <c r="M8" s="11"/>
      <c r="O8" s="3"/>
    </row>
    <row r="9" spans="1:16" x14ac:dyDescent="0.25">
      <c r="A9" s="8" t="s">
        <v>13</v>
      </c>
      <c r="C9" s="3">
        <f>SUM(C4:C7)</f>
        <v>6660427.1999999993</v>
      </c>
      <c r="F9" s="3">
        <f>SUM(F4:F7)</f>
        <v>8065643.0969478823</v>
      </c>
      <c r="I9" s="3">
        <f>SUM(I4:I7)</f>
        <v>9571470.6296644397</v>
      </c>
      <c r="L9" s="3">
        <f>SUM(L4:L7)</f>
        <v>12059261.592223343</v>
      </c>
      <c r="M9" s="11"/>
      <c r="O9" s="3">
        <f>SUM(O4:O7)</f>
        <v>15604906.549349571</v>
      </c>
    </row>
    <row r="10" spans="1:16" x14ac:dyDescent="0.25">
      <c r="I10" s="3"/>
      <c r="L10" s="3"/>
      <c r="M10" s="11"/>
      <c r="O10" s="3"/>
    </row>
    <row r="11" spans="1:16" x14ac:dyDescent="0.25">
      <c r="A11" s="8" t="s">
        <v>4</v>
      </c>
      <c r="I11" s="3"/>
      <c r="L11" s="3"/>
      <c r="M11" s="11"/>
      <c r="O11" s="3"/>
    </row>
    <row r="12" spans="1:16" x14ac:dyDescent="0.25">
      <c r="A12" t="s">
        <v>7</v>
      </c>
      <c r="C12" s="6">
        <f>0.205*C4</f>
        <v>1308720</v>
      </c>
      <c r="F12" s="6">
        <f>0.205*F4</f>
        <v>1584833.5424847272</v>
      </c>
      <c r="I12" s="3">
        <f>0.205*I4</f>
        <v>1880716.4565141471</v>
      </c>
      <c r="L12" s="3">
        <f>0.205*L4</f>
        <v>2369547.2312908894</v>
      </c>
      <c r="M12" s="11"/>
      <c r="O12" s="3">
        <f>0.205*O4</f>
        <v>3066237.7481229384</v>
      </c>
    </row>
    <row r="13" spans="1:16" x14ac:dyDescent="0.25">
      <c r="A13" t="s">
        <v>8</v>
      </c>
      <c r="C13" s="3">
        <f>C4*0.0079</f>
        <v>50433.600000000006</v>
      </c>
      <c r="F13" s="3">
        <f>F4*0.0079</f>
        <v>61074.073100630958</v>
      </c>
      <c r="I13" s="3">
        <f>I4*0.0079</f>
        <v>72476.39027542324</v>
      </c>
      <c r="L13" s="3">
        <f>L4*0.0079</f>
        <v>91314.25915706357</v>
      </c>
      <c r="M13" s="11"/>
      <c r="O13" s="3">
        <f>O4*0.0079</f>
        <v>118162.33273254252</v>
      </c>
    </row>
    <row r="14" spans="1:16" ht="17.25" x14ac:dyDescent="0.4">
      <c r="A14" t="s">
        <v>12</v>
      </c>
      <c r="C14" s="9">
        <f>C4*0.0087</f>
        <v>55540.799999999996</v>
      </c>
      <c r="F14" s="9">
        <f>F4*0.0087</f>
        <v>67258.789363985983</v>
      </c>
      <c r="I14" s="7">
        <f>I4*0.0087</f>
        <v>79815.771569136981</v>
      </c>
      <c r="L14" s="7">
        <f>L4*0.0087</f>
        <v>100561.27274258898</v>
      </c>
      <c r="M14" s="11"/>
      <c r="O14" s="13">
        <f>O4*0.0087</f>
        <v>130128.13857887592</v>
      </c>
    </row>
    <row r="15" spans="1:16" x14ac:dyDescent="0.25">
      <c r="I15" s="3"/>
      <c r="L15" s="3"/>
      <c r="M15" s="11"/>
      <c r="O15" s="3"/>
    </row>
    <row r="16" spans="1:16" x14ac:dyDescent="0.25">
      <c r="A16" s="8" t="s">
        <v>14</v>
      </c>
      <c r="C16" s="6">
        <f>SUM(C12:C14)</f>
        <v>1414694.4000000001</v>
      </c>
      <c r="D16" s="11">
        <f>C16/C4</f>
        <v>0.22160000000000002</v>
      </c>
      <c r="F16" s="6">
        <f>SUM(F12:F14)</f>
        <v>1713166.404949344</v>
      </c>
      <c r="G16" s="11">
        <f>F16/F4</f>
        <v>0.22159999999999999</v>
      </c>
      <c r="I16" s="3">
        <f>SUM(I12:I14)</f>
        <v>2033008.6183587073</v>
      </c>
      <c r="J16" s="11">
        <f>I16/I4</f>
        <v>0.22159999999999996</v>
      </c>
      <c r="L16" s="3">
        <f>SUM(L12:L14)</f>
        <v>2561422.7631905419</v>
      </c>
      <c r="M16" s="11">
        <f>L16/L4</f>
        <v>0.22159999999999996</v>
      </c>
      <c r="O16" s="3">
        <f>SUM(O12:O14)</f>
        <v>3314528.2194343568</v>
      </c>
      <c r="P16" s="11">
        <f>O16/O4</f>
        <v>0.22159999999999999</v>
      </c>
    </row>
    <row r="17" spans="1:16" x14ac:dyDescent="0.25">
      <c r="I17" s="3"/>
      <c r="L17" s="3"/>
      <c r="M17" s="11"/>
      <c r="O17" s="3"/>
      <c r="P17" s="11"/>
    </row>
    <row r="18" spans="1:16" x14ac:dyDescent="0.25">
      <c r="A18" s="8" t="s">
        <v>15</v>
      </c>
      <c r="C18" s="5">
        <f>C9-C16</f>
        <v>5245732.7999999989</v>
      </c>
      <c r="D18" s="11">
        <f>C18/C9</f>
        <v>0.78759704782900408</v>
      </c>
      <c r="F18" s="5">
        <f>F9-F16</f>
        <v>6352476.6919985386</v>
      </c>
      <c r="G18" s="11">
        <f>F18/F9</f>
        <v>0.78759704782900419</v>
      </c>
      <c r="I18" s="3">
        <f>I9-I16</f>
        <v>7538462.0113057327</v>
      </c>
      <c r="J18" s="11">
        <f>I18/I9</f>
        <v>0.78759704782900419</v>
      </c>
      <c r="L18" s="3">
        <f>L9-L16</f>
        <v>9497838.8290328011</v>
      </c>
      <c r="M18" s="11">
        <f>L18/L9</f>
        <v>0.78759704782900419</v>
      </c>
      <c r="O18" s="3">
        <f>O9-O16</f>
        <v>12290378.329915214</v>
      </c>
      <c r="P18" s="11">
        <f>O18/O9</f>
        <v>0.78759704782900419</v>
      </c>
    </row>
    <row r="19" spans="1:16" x14ac:dyDescent="0.25">
      <c r="I19" s="3"/>
      <c r="L19" s="3"/>
      <c r="M19" s="11"/>
      <c r="O19" s="3"/>
      <c r="P19" s="11"/>
    </row>
    <row r="20" spans="1:16" x14ac:dyDescent="0.25">
      <c r="A20" s="8" t="s">
        <v>16</v>
      </c>
      <c r="I20" s="3"/>
      <c r="L20" s="3"/>
      <c r="M20" s="11"/>
      <c r="O20" s="3"/>
      <c r="P20" s="11"/>
    </row>
    <row r="21" spans="1:16" x14ac:dyDescent="0.25">
      <c r="A21" t="s">
        <v>17</v>
      </c>
      <c r="C21" s="3">
        <v>1251574</v>
      </c>
      <c r="F21" s="3">
        <f>(C21*1.03)+100000</f>
        <v>1389121.22</v>
      </c>
      <c r="G21" t="s">
        <v>6</v>
      </c>
      <c r="I21" s="3">
        <f>F21*1.03</f>
        <v>1430794.8566000001</v>
      </c>
      <c r="L21" s="3">
        <f>(I21*1.03)+24960</f>
        <v>1498678.702298</v>
      </c>
      <c r="M21" s="11"/>
      <c r="O21" s="3">
        <f>(L21*1.03)+49290</f>
        <v>1592929.06336694</v>
      </c>
      <c r="P21" s="11"/>
    </row>
    <row r="22" spans="1:16" x14ac:dyDescent="0.25">
      <c r="A22" s="10" t="s">
        <v>18</v>
      </c>
      <c r="C22" s="3">
        <f>C21*0.043848</f>
        <v>54879.016751999996</v>
      </c>
      <c r="F22" s="3">
        <f>F21*0.043848</f>
        <v>60910.187254559998</v>
      </c>
      <c r="I22" s="3">
        <f>I21*0.043848</f>
        <v>62737.492872196803</v>
      </c>
      <c r="L22" s="3">
        <f>L21*0.043848</f>
        <v>65714.063738362704</v>
      </c>
      <c r="M22" s="11"/>
      <c r="O22" s="3">
        <f>O21*0.043848</f>
        <v>69846.753570513582</v>
      </c>
      <c r="P22" s="11"/>
    </row>
    <row r="23" spans="1:16" x14ac:dyDescent="0.25">
      <c r="A23" s="10" t="s">
        <v>19</v>
      </c>
      <c r="C23" s="3">
        <f>0.1017*C21</f>
        <v>127285.07579999999</v>
      </c>
      <c r="F23" s="3">
        <f>0.1017*F21</f>
        <v>141273.62807400001</v>
      </c>
      <c r="I23" s="3">
        <f>0.1017*I21</f>
        <v>145511.83691622</v>
      </c>
      <c r="L23" s="3">
        <f>0.1017*L21</f>
        <v>152415.62402370659</v>
      </c>
      <c r="M23" s="11"/>
      <c r="O23" s="3">
        <f>0.1017*O21</f>
        <v>162000.88574441778</v>
      </c>
      <c r="P23" s="11"/>
    </row>
    <row r="24" spans="1:16" x14ac:dyDescent="0.25">
      <c r="A24" s="10" t="s">
        <v>20</v>
      </c>
      <c r="C24" s="3">
        <v>463500</v>
      </c>
      <c r="F24" s="3">
        <f>C24*1.03</f>
        <v>477405</v>
      </c>
      <c r="I24" s="3">
        <f>F24*1.03</f>
        <v>491727.15</v>
      </c>
      <c r="L24" s="3">
        <f>(I24*1.03)+30000</f>
        <v>536478.9645</v>
      </c>
      <c r="M24" s="11"/>
      <c r="O24" s="3">
        <f>(L24*1.03)+60000</f>
        <v>612573.33343500004</v>
      </c>
      <c r="P24" s="11"/>
    </row>
    <row r="25" spans="1:16" x14ac:dyDescent="0.25">
      <c r="A25" s="10" t="s">
        <v>36</v>
      </c>
      <c r="C25" s="3">
        <v>220000</v>
      </c>
      <c r="F25" s="3">
        <v>220000</v>
      </c>
      <c r="I25" s="3">
        <v>220000</v>
      </c>
      <c r="L25" s="3">
        <v>214855.5</v>
      </c>
      <c r="M25" s="11"/>
      <c r="O25" s="3">
        <v>203040.2</v>
      </c>
      <c r="P25" s="11"/>
    </row>
    <row r="26" spans="1:16" x14ac:dyDescent="0.25">
      <c r="A26" s="10" t="s">
        <v>87</v>
      </c>
      <c r="C26" s="3">
        <v>227960.59</v>
      </c>
      <c r="F26" s="3">
        <v>200309.87</v>
      </c>
      <c r="I26" s="3">
        <v>170364.16</v>
      </c>
      <c r="L26" s="3">
        <v>137932.97</v>
      </c>
      <c r="M26" s="11"/>
      <c r="O26" s="3">
        <v>102810.01</v>
      </c>
      <c r="P26" s="11"/>
    </row>
    <row r="27" spans="1:16" x14ac:dyDescent="0.25">
      <c r="A27" s="10" t="s">
        <v>88</v>
      </c>
      <c r="C27" s="3">
        <v>180190.42</v>
      </c>
      <c r="F27" s="3">
        <v>162626.23000000001</v>
      </c>
      <c r="I27" s="3">
        <v>142238.53</v>
      </c>
      <c r="L27" s="3">
        <v>118573.41</v>
      </c>
      <c r="M27" s="11"/>
      <c r="O27" s="3">
        <v>91104.01</v>
      </c>
      <c r="P27" s="11"/>
    </row>
    <row r="28" spans="1:16" x14ac:dyDescent="0.25">
      <c r="A28" s="10" t="s">
        <v>75</v>
      </c>
      <c r="C28" s="3">
        <v>21838.880000000001</v>
      </c>
      <c r="F28" s="3">
        <v>21838.880000000001</v>
      </c>
      <c r="I28" s="3">
        <v>21838.880000000001</v>
      </c>
      <c r="L28" s="3">
        <v>21838.880000000001</v>
      </c>
      <c r="M28" s="11"/>
      <c r="O28" s="3">
        <v>21838.880000000001</v>
      </c>
      <c r="P28" s="11"/>
    </row>
    <row r="29" spans="1:16" x14ac:dyDescent="0.25">
      <c r="A29" s="10" t="s">
        <v>21</v>
      </c>
      <c r="C29" s="3">
        <v>23449</v>
      </c>
      <c r="F29" s="3">
        <f>C29*1.03</f>
        <v>24152.47</v>
      </c>
      <c r="I29" s="3">
        <f>F29*1.03</f>
        <v>24877.044100000003</v>
      </c>
      <c r="L29" s="3">
        <f>I29*1.03</f>
        <v>25623.355423000005</v>
      </c>
      <c r="M29" s="11"/>
      <c r="O29" s="3">
        <f>L29*1.03</f>
        <v>26392.056085690005</v>
      </c>
      <c r="P29" s="11"/>
    </row>
    <row r="30" spans="1:16" x14ac:dyDescent="0.25">
      <c r="A30" s="10" t="s">
        <v>22</v>
      </c>
      <c r="C30" s="3">
        <f>1.77*C5</f>
        <v>72317.952000000005</v>
      </c>
      <c r="F30" s="3">
        <f>1.77*F5</f>
        <v>87575.582289107275</v>
      </c>
      <c r="I30" s="3">
        <f>1.77*I5</f>
        <v>103925.63911898664</v>
      </c>
      <c r="L30" s="3">
        <f>1.77*L5</f>
        <v>130937.71237103999</v>
      </c>
      <c r="M30" s="11"/>
      <c r="O30" s="3">
        <f>1.77*O5</f>
        <v>169435.81078408123</v>
      </c>
      <c r="P30" s="11"/>
    </row>
    <row r="31" spans="1:16" x14ac:dyDescent="0.25">
      <c r="A31" s="10" t="s">
        <v>23</v>
      </c>
      <c r="C31" s="3">
        <v>17993</v>
      </c>
      <c r="F31" s="3">
        <f>C31*1.03</f>
        <v>18532.79</v>
      </c>
      <c r="I31" s="3">
        <f>F31*1.03</f>
        <v>19088.773700000002</v>
      </c>
      <c r="K31" t="s">
        <v>6</v>
      </c>
      <c r="L31" s="3">
        <f>I31*1.03</f>
        <v>19661.436911000001</v>
      </c>
      <c r="M31" s="11"/>
      <c r="O31" s="3">
        <f>L31*1.03</f>
        <v>20251.280018330002</v>
      </c>
      <c r="P31" s="11"/>
    </row>
    <row r="32" spans="1:16" x14ac:dyDescent="0.25">
      <c r="A32" s="10" t="s">
        <v>24</v>
      </c>
      <c r="C32" s="3">
        <v>35649</v>
      </c>
      <c r="F32" s="3">
        <f>C32*1.03</f>
        <v>36718.47</v>
      </c>
      <c r="I32" s="3">
        <f>F32*1.03</f>
        <v>37820.024100000002</v>
      </c>
      <c r="L32" s="3">
        <f>I32*1.03</f>
        <v>38954.624823000006</v>
      </c>
      <c r="M32" s="11"/>
      <c r="O32" s="3">
        <f>L32*1.03</f>
        <v>40123.26356769001</v>
      </c>
      <c r="P32" s="11"/>
    </row>
    <row r="33" spans="1:17" x14ac:dyDescent="0.25">
      <c r="A33" s="10" t="s">
        <v>25</v>
      </c>
      <c r="C33" s="3">
        <f>0.1456*C24</f>
        <v>67485.600000000006</v>
      </c>
      <c r="F33" s="3">
        <f>0.1456*F24</f>
        <v>69510.168000000005</v>
      </c>
      <c r="I33" s="3">
        <f>0.1456*I24</f>
        <v>71595.473040000012</v>
      </c>
      <c r="L33" s="3">
        <f>0.1456*L24</f>
        <v>78111.337231199999</v>
      </c>
      <c r="M33" s="11"/>
      <c r="O33" s="3">
        <f>0.1456*O24</f>
        <v>89190.677348136014</v>
      </c>
      <c r="P33" s="11"/>
      <c r="Q33" t="s">
        <v>6</v>
      </c>
    </row>
    <row r="34" spans="1:17" x14ac:dyDescent="0.25">
      <c r="A34" s="10" t="s">
        <v>26</v>
      </c>
      <c r="C34" s="3">
        <v>22523</v>
      </c>
      <c r="F34" s="3">
        <f>C34*1.03</f>
        <v>23198.690000000002</v>
      </c>
      <c r="I34" s="3">
        <f>F34*1.03</f>
        <v>23894.650700000002</v>
      </c>
      <c r="L34" s="3">
        <f>I34*1.03</f>
        <v>24611.490221000004</v>
      </c>
      <c r="M34" s="11"/>
      <c r="O34" s="3">
        <f>L34*1.03</f>
        <v>25349.834927630003</v>
      </c>
      <c r="P34" s="11"/>
    </row>
    <row r="35" spans="1:17" x14ac:dyDescent="0.25">
      <c r="A35" s="10" t="s">
        <v>27</v>
      </c>
      <c r="C35" s="3">
        <v>400000</v>
      </c>
      <c r="F35" s="3">
        <v>450000</v>
      </c>
      <c r="I35" s="3">
        <v>500000</v>
      </c>
      <c r="L35" s="3">
        <v>600000</v>
      </c>
      <c r="M35" s="11"/>
      <c r="O35" s="3">
        <v>600000</v>
      </c>
      <c r="P35" s="11"/>
    </row>
    <row r="36" spans="1:17" x14ac:dyDescent="0.25">
      <c r="A36" s="10" t="s">
        <v>28</v>
      </c>
      <c r="C36" s="3">
        <v>14286</v>
      </c>
      <c r="F36" s="3">
        <f>C36*1.03</f>
        <v>14714.58</v>
      </c>
      <c r="I36" s="3">
        <f>F36*1.03</f>
        <v>15156.017400000001</v>
      </c>
      <c r="L36" s="3">
        <f>I36*1.03</f>
        <v>15610.697922000001</v>
      </c>
      <c r="M36" s="11"/>
      <c r="O36" s="3">
        <f>L36*1.03</f>
        <v>16079.018859660002</v>
      </c>
      <c r="P36" s="11"/>
    </row>
    <row r="37" spans="1:17" x14ac:dyDescent="0.25">
      <c r="A37" s="10" t="s">
        <v>29</v>
      </c>
      <c r="C37" s="3">
        <v>50000</v>
      </c>
      <c r="F37" s="3">
        <v>30000</v>
      </c>
      <c r="I37" s="3">
        <f>F37*1.03</f>
        <v>30900</v>
      </c>
      <c r="L37" s="3">
        <f>I37*1.03</f>
        <v>31827</v>
      </c>
      <c r="M37" s="11"/>
      <c r="O37" s="3">
        <f>L37*1.03</f>
        <v>32781.81</v>
      </c>
      <c r="P37" s="11"/>
    </row>
    <row r="38" spans="1:17" x14ac:dyDescent="0.25">
      <c r="A38" s="10" t="s">
        <v>30</v>
      </c>
      <c r="C38" s="3">
        <f>0.001197*C4</f>
        <v>7641.6479999999992</v>
      </c>
      <c r="F38" s="3">
        <f>0.001197*F4</f>
        <v>9253.8817090449684</v>
      </c>
      <c r="I38" s="3">
        <f>0.001197*I4</f>
        <v>10981.549260719192</v>
      </c>
      <c r="L38" s="3">
        <f>0.001197*L4</f>
        <v>13835.844077342414</v>
      </c>
      <c r="M38" s="11"/>
      <c r="O38" s="3">
        <f>0.001197*O4</f>
        <v>17903.836997576378</v>
      </c>
      <c r="P38" s="11"/>
      <c r="Q38" t="s">
        <v>6</v>
      </c>
    </row>
    <row r="39" spans="1:17" x14ac:dyDescent="0.25">
      <c r="A39" s="10" t="s">
        <v>34</v>
      </c>
      <c r="C39" s="3">
        <v>12000</v>
      </c>
      <c r="F39" s="3">
        <v>12000</v>
      </c>
      <c r="I39" s="3">
        <v>12000</v>
      </c>
      <c r="L39" s="3">
        <f>I39*1.25</f>
        <v>15000</v>
      </c>
      <c r="M39" s="11"/>
      <c r="O39" s="3">
        <v>15000</v>
      </c>
      <c r="P39" s="11"/>
    </row>
    <row r="40" spans="1:17" x14ac:dyDescent="0.25">
      <c r="A40" s="10" t="s">
        <v>31</v>
      </c>
      <c r="C40" s="7">
        <v>18473</v>
      </c>
      <c r="F40" s="7">
        <f>C40*1.03</f>
        <v>19027.189999999999</v>
      </c>
      <c r="I40" s="7">
        <f>F40*1.03</f>
        <v>19598.005699999998</v>
      </c>
      <c r="L40" s="7">
        <f>I40*1.03</f>
        <v>20185.945871</v>
      </c>
      <c r="M40" s="11"/>
      <c r="O40" s="7">
        <f>L40*1.03</f>
        <v>20791.524247130001</v>
      </c>
      <c r="P40" s="11"/>
    </row>
    <row r="41" spans="1:17" ht="7.5" customHeight="1" x14ac:dyDescent="0.25">
      <c r="I41" s="3"/>
      <c r="L41" s="3"/>
      <c r="M41" s="11"/>
      <c r="O41" s="3"/>
      <c r="P41" s="11"/>
    </row>
    <row r="42" spans="1:17" x14ac:dyDescent="0.25">
      <c r="A42" s="8" t="s">
        <v>32</v>
      </c>
      <c r="C42" s="5">
        <f>SUM(C21:C40)</f>
        <v>3289046.1825519996</v>
      </c>
      <c r="D42" s="11">
        <f>C42/C4</f>
        <v>0.51520146969799496</v>
      </c>
      <c r="F42" s="5">
        <f>SUM(F21:F40)</f>
        <v>3468168.8373267124</v>
      </c>
      <c r="G42" s="11">
        <f>F42/F4</f>
        <v>0.44861153716957475</v>
      </c>
      <c r="I42" s="3">
        <f>SUM(I21:I40)</f>
        <v>3555050.0835081222</v>
      </c>
      <c r="J42" s="11">
        <f>I42/I4</f>
        <v>0.38750406239861757</v>
      </c>
      <c r="L42" s="3">
        <f>SUM(L21:L40)</f>
        <v>3760847.5594106521</v>
      </c>
      <c r="M42" s="11">
        <f>L42/L4</f>
        <v>0.32536753836266435</v>
      </c>
      <c r="O42" s="3">
        <f>SUM(O21:O40)</f>
        <v>3929442.2489527948</v>
      </c>
      <c r="P42" s="11">
        <f>O42/O4</f>
        <v>0.26271141614131144</v>
      </c>
    </row>
    <row r="43" spans="1:17" x14ac:dyDescent="0.25">
      <c r="I43" s="3"/>
      <c r="L43" s="3"/>
      <c r="M43" s="11"/>
      <c r="O43" s="3"/>
      <c r="P43" s="11"/>
    </row>
    <row r="44" spans="1:17" x14ac:dyDescent="0.25">
      <c r="A44" s="8" t="s">
        <v>68</v>
      </c>
      <c r="C44" s="5">
        <f>C18-C42</f>
        <v>1956686.6174479993</v>
      </c>
      <c r="D44" s="11">
        <f>C44/C4</f>
        <v>0.30649853030200491</v>
      </c>
      <c r="F44" s="5">
        <f>F18-F42</f>
        <v>2884307.8546718261</v>
      </c>
      <c r="G44" s="11">
        <f>F44/F4</f>
        <v>0.37308846283042524</v>
      </c>
      <c r="I44" s="3">
        <f>I18-I42</f>
        <v>3983411.9277976104</v>
      </c>
      <c r="J44" s="11">
        <f>I44/I4</f>
        <v>0.43419593760138264</v>
      </c>
      <c r="L44" s="3">
        <f>L18-L42</f>
        <v>5736991.2696221489</v>
      </c>
      <c r="M44" s="11">
        <f>L44/L4</f>
        <v>0.49633246163733569</v>
      </c>
      <c r="O44" s="3">
        <f>O18-O42</f>
        <v>8360936.0809624195</v>
      </c>
      <c r="P44" s="11">
        <f>O44/O4</f>
        <v>0.55898858385868866</v>
      </c>
    </row>
    <row r="45" spans="1:17" x14ac:dyDescent="0.25">
      <c r="A45" s="8"/>
      <c r="C45" s="5"/>
      <c r="D45" s="11"/>
      <c r="F45" s="5"/>
      <c r="G45" s="11"/>
      <c r="I45" s="3"/>
      <c r="J45" s="11"/>
      <c r="L45" s="3"/>
      <c r="M45" s="11"/>
      <c r="O45" s="3"/>
      <c r="P45" s="11"/>
    </row>
    <row r="46" spans="1:17" x14ac:dyDescent="0.25">
      <c r="A46" s="8" t="s">
        <v>67</v>
      </c>
      <c r="C46" s="5">
        <f>0.4*C44</f>
        <v>782674.64697919972</v>
      </c>
      <c r="D46" s="11"/>
      <c r="F46" s="5">
        <f>0.4*F44</f>
        <v>1153723.1418687305</v>
      </c>
      <c r="G46" s="11"/>
      <c r="I46" s="5">
        <f>0.4*I44</f>
        <v>1593364.7711190442</v>
      </c>
      <c r="J46" s="11"/>
      <c r="L46" s="5">
        <f>0.4*L44</f>
        <v>2294796.5078488598</v>
      </c>
      <c r="M46" s="11"/>
      <c r="O46" s="5">
        <f>0.4*O44</f>
        <v>3344374.4323849678</v>
      </c>
      <c r="P46" s="11"/>
    </row>
    <row r="47" spans="1:17" x14ac:dyDescent="0.25">
      <c r="A47" s="8"/>
      <c r="C47" s="5"/>
      <c r="D47" s="11"/>
      <c r="F47" s="5"/>
      <c r="G47" s="11"/>
      <c r="I47" s="3"/>
      <c r="J47" s="11"/>
      <c r="L47" s="3"/>
      <c r="M47" s="11"/>
      <c r="O47" s="3"/>
      <c r="P47" s="11"/>
    </row>
    <row r="48" spans="1:17" x14ac:dyDescent="0.25">
      <c r="A48" s="8" t="s">
        <v>33</v>
      </c>
      <c r="C48" s="5">
        <f>C44-C46</f>
        <v>1174011.9704687996</v>
      </c>
      <c r="D48" s="11"/>
      <c r="F48" s="5">
        <f>F44-F46</f>
        <v>1730584.7128030956</v>
      </c>
      <c r="G48" s="11"/>
      <c r="I48" s="5">
        <f>I44-I46</f>
        <v>2390047.1566785662</v>
      </c>
      <c r="J48" s="11"/>
      <c r="L48" s="5">
        <f>L44-L46</f>
        <v>3442194.7617732892</v>
      </c>
      <c r="M48" s="11"/>
      <c r="O48" s="5">
        <f>O44-O46</f>
        <v>5016561.6485774517</v>
      </c>
      <c r="P48" s="11"/>
    </row>
    <row r="49" spans="1:16" x14ac:dyDescent="0.25">
      <c r="A49" s="8"/>
      <c r="C49" s="5"/>
      <c r="D49" s="11"/>
      <c r="F49" s="5"/>
      <c r="G49" s="11"/>
      <c r="I49" s="3"/>
      <c r="J49" s="11"/>
      <c r="L49" s="3"/>
      <c r="M49" s="11"/>
      <c r="O49" s="3"/>
      <c r="P49" s="11"/>
    </row>
    <row r="50" spans="1:16" x14ac:dyDescent="0.25">
      <c r="A50" t="s">
        <v>35</v>
      </c>
      <c r="C50" s="3">
        <v>3800000</v>
      </c>
      <c r="D50" s="2" t="s">
        <v>6</v>
      </c>
      <c r="F50" s="3">
        <f>4300000+(-0.5*'Statement of Cash Flows'!G26)</f>
        <v>4601723.4102344001</v>
      </c>
      <c r="I50" s="3">
        <f>4300000+('Statement of Cash Flows'!G26*-1)+(-0.5*'Statement of Cash Flows'!K26)</f>
        <v>5460849.176870347</v>
      </c>
      <c r="L50" s="3">
        <f>4300000+('Statement of Cash Flows'!G26*-1)+('Statement of Cash Flows'!K26*-1)+(-0.5*'Statement of Cash Flows'!O26)</f>
        <v>6880218.4416111782</v>
      </c>
      <c r="O50" s="3">
        <f>4300000+('Statement of Cash Flows'!G26*-1)+('Statement of Cash Flows'!K26*-1)+('Statement of Cash Flows'!O26*-1)+('Statement of Cash Flows'!S26*-0.5)</f>
        <v>8903129.3499504607</v>
      </c>
    </row>
    <row r="51" spans="1:16" x14ac:dyDescent="0.25">
      <c r="C51" s="3"/>
      <c r="D51" s="2"/>
      <c r="F51" s="3"/>
      <c r="I51" s="3"/>
      <c r="L51" s="3"/>
      <c r="O51" s="3"/>
    </row>
    <row r="52" spans="1:16" x14ac:dyDescent="0.25">
      <c r="A52" t="s">
        <v>94</v>
      </c>
      <c r="C52" s="5">
        <f>C44+C28+C27+C26+C25</f>
        <v>2606676.507447999</v>
      </c>
      <c r="F52" s="5">
        <f>F44+F28+F27+F26+F25</f>
        <v>3489082.8346718261</v>
      </c>
      <c r="I52" s="5">
        <f>I44+I28+I27+I26+I25</f>
        <v>4537853.4977976102</v>
      </c>
      <c r="L52" s="5">
        <f>L44+L28+L27+L26+L25</f>
        <v>6230192.0296221487</v>
      </c>
      <c r="O52" s="5">
        <f>O44+O28+O27+O26+O25</f>
        <v>8779729.1809624191</v>
      </c>
    </row>
    <row r="54" spans="1:16" x14ac:dyDescent="0.25">
      <c r="A54" t="s">
        <v>95</v>
      </c>
      <c r="C54" s="3">
        <f>4*C52</f>
        <v>10426706.029791996</v>
      </c>
      <c r="D54" s="3"/>
      <c r="E54" s="3"/>
      <c r="F54" s="3">
        <f>4*F52</f>
        <v>13956331.338687304</v>
      </c>
      <c r="G54" s="3"/>
      <c r="H54" s="3"/>
      <c r="I54" s="3">
        <f>4*I52</f>
        <v>18151413.991190441</v>
      </c>
      <c r="J54" s="3"/>
      <c r="K54" s="3"/>
      <c r="L54" s="3">
        <f>4*L52</f>
        <v>24920768.118488595</v>
      </c>
      <c r="M54" s="3"/>
      <c r="N54" s="3"/>
      <c r="O54" s="3">
        <f>4*O52</f>
        <v>35118916.723849677</v>
      </c>
    </row>
    <row r="55" spans="1:16" x14ac:dyDescent="0.25">
      <c r="A55" t="s">
        <v>96</v>
      </c>
      <c r="C55" s="7">
        <f>'BS Years 1-5'!E45</f>
        <v>7000000</v>
      </c>
      <c r="D55" s="3"/>
      <c r="E55" s="3"/>
      <c r="F55" s="7">
        <f>'BS Years 1-5'!G45</f>
        <v>6557595.9700000007</v>
      </c>
      <c r="G55" s="3"/>
      <c r="H55" s="3"/>
      <c r="I55" s="7">
        <f>'BS Years 1-5'!I45</f>
        <v>6069977.0399999991</v>
      </c>
      <c r="J55" s="3"/>
      <c r="K55" s="3"/>
      <c r="L55" s="7">
        <f>'BS Years 1-5'!K45</f>
        <v>5389670.8300000001</v>
      </c>
      <c r="M55" s="3"/>
      <c r="N55" s="3"/>
      <c r="O55" s="7">
        <f>'BS Years 1-5'!M45</f>
        <v>4641453.0200000005</v>
      </c>
    </row>
    <row r="56" spans="1:16" ht="6" customHeight="1" x14ac:dyDescent="0.25"/>
    <row r="57" spans="1:16" x14ac:dyDescent="0.25">
      <c r="A57" t="s">
        <v>97</v>
      </c>
      <c r="C57" s="5">
        <f>C54-C55</f>
        <v>3426706.0297919959</v>
      </c>
      <c r="F57" s="5">
        <f>F54-F55</f>
        <v>7398735.3686873037</v>
      </c>
      <c r="I57" s="5">
        <f>I54-I55</f>
        <v>12081436.951190442</v>
      </c>
      <c r="L57" s="5">
        <f>L54-L55</f>
        <v>19531097.288488597</v>
      </c>
      <c r="O57" s="5">
        <f>O54-O55</f>
        <v>30477463.703849677</v>
      </c>
    </row>
    <row r="59" spans="1:16" x14ac:dyDescent="0.25">
      <c r="A59" t="s">
        <v>104</v>
      </c>
      <c r="C59" s="3">
        <v>0</v>
      </c>
      <c r="D59" s="3"/>
      <c r="E59" s="3"/>
      <c r="F59" s="3">
        <v>0</v>
      </c>
      <c r="G59" s="3"/>
      <c r="H59" s="3"/>
      <c r="I59" s="3">
        <v>0</v>
      </c>
      <c r="J59" s="3"/>
      <c r="K59" s="3"/>
      <c r="L59" s="3">
        <v>0</v>
      </c>
      <c r="M59" s="3"/>
      <c r="N59" s="3"/>
      <c r="O59" s="3">
        <v>750000</v>
      </c>
    </row>
    <row r="60" spans="1:16" x14ac:dyDescent="0.25">
      <c r="A60" t="s">
        <v>105</v>
      </c>
      <c r="C60" s="7">
        <v>0</v>
      </c>
      <c r="D60" s="3"/>
      <c r="E60" s="3"/>
      <c r="F60" s="7">
        <v>0</v>
      </c>
      <c r="G60" s="3"/>
      <c r="H60" s="3"/>
      <c r="I60" s="7">
        <v>0</v>
      </c>
      <c r="J60" s="3"/>
      <c r="K60" s="3"/>
      <c r="L60" s="7">
        <v>0</v>
      </c>
      <c r="M60" s="3"/>
      <c r="N60" s="3"/>
      <c r="O60" s="7">
        <f>-'Statement of Cash Flows'!S21-150000</f>
        <v>3700000</v>
      </c>
    </row>
    <row r="61" spans="1:16" ht="6.75" customHeight="1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6" x14ac:dyDescent="0.25">
      <c r="A62" t="s">
        <v>101</v>
      </c>
      <c r="C62" s="3">
        <f>SUM(C59:C60)</f>
        <v>0</v>
      </c>
      <c r="D62" s="3"/>
      <c r="E62" s="3"/>
      <c r="F62" s="3">
        <f>SUM(F59:F60)</f>
        <v>0</v>
      </c>
      <c r="G62" s="3"/>
      <c r="H62" s="3"/>
      <c r="I62" s="3">
        <f>SUM(I59:I60)</f>
        <v>0</v>
      </c>
      <c r="J62" s="3"/>
      <c r="K62" s="3"/>
      <c r="L62" s="3">
        <f>SUM(L59:L60)</f>
        <v>0</v>
      </c>
      <c r="M62" s="3"/>
      <c r="N62" s="3"/>
      <c r="O62" s="3">
        <f>SUM(O59:O60)</f>
        <v>4450000</v>
      </c>
    </row>
    <row r="63" spans="1:16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6" x14ac:dyDescent="0.25">
      <c r="A64" t="s">
        <v>102</v>
      </c>
      <c r="C64" s="3">
        <v>0</v>
      </c>
      <c r="D64" s="3"/>
      <c r="E64" s="3"/>
      <c r="F64" s="3">
        <v>0</v>
      </c>
      <c r="G64" s="3"/>
      <c r="H64" s="3"/>
      <c r="I64" s="3">
        <v>0</v>
      </c>
      <c r="J64" s="3"/>
      <c r="K64" s="3"/>
      <c r="L64" s="3">
        <v>0</v>
      </c>
      <c r="M64" s="3"/>
      <c r="N64" s="3"/>
      <c r="O64" s="3">
        <f>(O62/3000000)*100000</f>
        <v>148333.33333333334</v>
      </c>
    </row>
    <row r="66" spans="1:15" x14ac:dyDescent="0.25">
      <c r="A66" t="s">
        <v>106</v>
      </c>
      <c r="C66" s="3"/>
      <c r="F66" s="3"/>
      <c r="I66" s="3"/>
      <c r="L66" s="3"/>
      <c r="O66" s="3">
        <f>O60</f>
        <v>3700000</v>
      </c>
    </row>
  </sheetData>
  <pageMargins left="0.7" right="0.7" top="0.75" bottom="0.75" header="0.3" footer="0.3"/>
  <pageSetup scale="54" orientation="portrait" r:id="rId1"/>
  <headerFooter>
    <oddHeader>&amp;C&amp;16Carrick Financial Holdings, LLC Five Year Proforma Income Statement</oddHeader>
  </headerFooter>
  <ignoredErrors>
    <ignoredError sqref="C16:D16 C18" evalError="1"/>
    <ignoredError sqref="F30 I30 L30 O30 I23 K23:L23 O23 P16 F33 I33 L33 O3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"/>
  <sheetViews>
    <sheetView zoomScaleNormal="100" workbookViewId="0">
      <selection activeCell="V8" sqref="V8"/>
    </sheetView>
  </sheetViews>
  <sheetFormatPr defaultRowHeight="15" x14ac:dyDescent="0.25"/>
  <cols>
    <col min="1" max="1" width="44" customWidth="1"/>
    <col min="2" max="2" width="4.140625" customWidth="1"/>
    <col min="3" max="3" width="13.28515625" customWidth="1"/>
    <col min="4" max="4" width="7.28515625" customWidth="1"/>
    <col min="5" max="5" width="1.85546875" customWidth="1"/>
    <col min="6" max="6" width="12.42578125" customWidth="1"/>
    <col min="7" max="7" width="7.140625" customWidth="1"/>
    <col min="8" max="8" width="1.85546875" customWidth="1"/>
    <col min="9" max="9" width="12.7109375" customWidth="1"/>
    <col min="10" max="10" width="7.42578125" customWidth="1"/>
    <col min="11" max="11" width="1.85546875" customWidth="1"/>
    <col min="12" max="12" width="13.5703125" customWidth="1"/>
    <col min="13" max="13" width="7.42578125" customWidth="1"/>
    <col min="14" max="14" width="1.7109375" customWidth="1"/>
    <col min="15" max="15" width="13" customWidth="1"/>
    <col min="16" max="16" width="7.5703125" customWidth="1"/>
  </cols>
  <sheetData>
    <row r="1" spans="1:16" x14ac:dyDescent="0.25">
      <c r="C1" s="12">
        <v>2019</v>
      </c>
      <c r="F1" s="12">
        <v>2020</v>
      </c>
      <c r="I1" s="12">
        <v>2021</v>
      </c>
      <c r="L1" s="12">
        <v>2022</v>
      </c>
      <c r="O1" s="12">
        <v>2023</v>
      </c>
    </row>
    <row r="2" spans="1:16" ht="5.25" customHeight="1" x14ac:dyDescent="0.25"/>
    <row r="3" spans="1:16" x14ac:dyDescent="0.25">
      <c r="A3" s="8" t="s">
        <v>3</v>
      </c>
      <c r="C3" s="3" t="s">
        <v>6</v>
      </c>
    </row>
    <row r="4" spans="1:16" x14ac:dyDescent="0.25">
      <c r="A4" t="s">
        <v>5</v>
      </c>
      <c r="C4" s="3">
        <f>1.68*C50</f>
        <v>17747643.227916773</v>
      </c>
      <c r="F4" s="3">
        <f>1.68*F50</f>
        <v>18587643.227916773</v>
      </c>
      <c r="H4" s="5" t="s">
        <v>6</v>
      </c>
      <c r="I4" s="3">
        <f>1.68*I50</f>
        <v>18587643.227916773</v>
      </c>
      <c r="L4" s="3">
        <f>1.68*L50</f>
        <v>18588746.399999999</v>
      </c>
      <c r="M4" s="11"/>
      <c r="O4" s="3">
        <f>1.68*O50</f>
        <v>18588746.399999999</v>
      </c>
    </row>
    <row r="5" spans="1:16" x14ac:dyDescent="0.25">
      <c r="A5" t="s">
        <v>9</v>
      </c>
      <c r="C5" s="3">
        <f>C4*0.0064</f>
        <v>113584.91665866735</v>
      </c>
      <c r="F5" s="3">
        <f>F4*0.0064</f>
        <v>118960.91665866735</v>
      </c>
      <c r="I5" s="3">
        <f>I4*0.0064</f>
        <v>118960.91665866735</v>
      </c>
      <c r="L5" s="3">
        <f>L4*0.0064</f>
        <v>118967.97696</v>
      </c>
      <c r="M5" s="11"/>
      <c r="O5" s="3">
        <f>O4*0.0064</f>
        <v>118967.97696</v>
      </c>
    </row>
    <row r="6" spans="1:16" x14ac:dyDescent="0.25">
      <c r="A6" t="s">
        <v>10</v>
      </c>
      <c r="C6" s="3">
        <f>0.0319*C4</f>
        <v>566149.81897054508</v>
      </c>
      <c r="F6" s="3">
        <f>0.0319*F4</f>
        <v>592945.81897054508</v>
      </c>
      <c r="I6" s="3">
        <f>0.0319*I4</f>
        <v>592945.81897054508</v>
      </c>
      <c r="L6" s="3">
        <f>0.0319*L4</f>
        <v>592981.01015999995</v>
      </c>
      <c r="M6" s="11"/>
      <c r="O6" s="3">
        <f>0.0319*O4</f>
        <v>592981.01015999995</v>
      </c>
    </row>
    <row r="7" spans="1:16" x14ac:dyDescent="0.25">
      <c r="A7" t="s">
        <v>11</v>
      </c>
      <c r="C7" s="7">
        <f>0.005*C4</f>
        <v>88738.216139583863</v>
      </c>
      <c r="F7" s="7">
        <f>0.005*F4</f>
        <v>92938.216139583863</v>
      </c>
      <c r="I7" s="7">
        <f>0.005*I4</f>
        <v>92938.216139583863</v>
      </c>
      <c r="L7" s="7">
        <f>0.005*L4</f>
        <v>92943.731999999989</v>
      </c>
      <c r="M7" s="11"/>
      <c r="O7" s="7">
        <f>0.005*O4</f>
        <v>92943.731999999989</v>
      </c>
    </row>
    <row r="8" spans="1:16" x14ac:dyDescent="0.25">
      <c r="C8" s="3"/>
      <c r="F8" s="3"/>
      <c r="I8" s="3"/>
      <c r="L8" s="3"/>
      <c r="M8" s="11"/>
      <c r="O8" s="3"/>
    </row>
    <row r="9" spans="1:16" x14ac:dyDescent="0.25">
      <c r="A9" s="8" t="s">
        <v>13</v>
      </c>
      <c r="C9" s="3">
        <f>SUM(C4:C7)</f>
        <v>18516116.17968557</v>
      </c>
      <c r="F9" s="3">
        <f>SUM(F4:F7)</f>
        <v>19392488.17968557</v>
      </c>
      <c r="I9" s="3">
        <f>SUM(I4:I7)</f>
        <v>19392488.17968557</v>
      </c>
      <c r="L9" s="3">
        <f>SUM(L4:L7)</f>
        <v>19393639.119119998</v>
      </c>
      <c r="M9" s="11"/>
      <c r="O9" s="3">
        <f>SUM(O4:O7)</f>
        <v>19393639.119119998</v>
      </c>
    </row>
    <row r="10" spans="1:16" x14ac:dyDescent="0.25">
      <c r="I10" s="3"/>
      <c r="L10" s="3"/>
      <c r="M10" s="11"/>
      <c r="O10" s="3"/>
    </row>
    <row r="11" spans="1:16" x14ac:dyDescent="0.25">
      <c r="A11" s="8" t="s">
        <v>4</v>
      </c>
      <c r="I11" s="3"/>
      <c r="L11" s="3"/>
      <c r="M11" s="11"/>
      <c r="O11" s="3"/>
    </row>
    <row r="12" spans="1:16" x14ac:dyDescent="0.25">
      <c r="A12" t="s">
        <v>7</v>
      </c>
      <c r="C12" s="6">
        <f>0.205*C4</f>
        <v>3638266.8617229383</v>
      </c>
      <c r="F12" s="6">
        <f>0.205*F4</f>
        <v>3810466.8617229383</v>
      </c>
      <c r="I12" s="3">
        <f>0.205*I4</f>
        <v>3810466.8617229383</v>
      </c>
      <c r="L12" s="3">
        <f>0.205*L4</f>
        <v>3810693.0119999996</v>
      </c>
      <c r="M12" s="11"/>
      <c r="O12" s="3">
        <f>0.205*O4</f>
        <v>3810693.0119999996</v>
      </c>
    </row>
    <row r="13" spans="1:16" x14ac:dyDescent="0.25">
      <c r="A13" t="s">
        <v>8</v>
      </c>
      <c r="C13" s="3">
        <f>C4*0.0079</f>
        <v>140206.38150054251</v>
      </c>
      <c r="F13" s="3">
        <f>F4*0.0079</f>
        <v>146842.38150054251</v>
      </c>
      <c r="I13" s="3">
        <f>I4*0.0079</f>
        <v>146842.38150054251</v>
      </c>
      <c r="L13" s="3">
        <f>L4*0.0079</f>
        <v>146851.09656000001</v>
      </c>
      <c r="M13" s="11"/>
      <c r="O13" s="3">
        <f>O4*0.0079</f>
        <v>146851.09656000001</v>
      </c>
    </row>
    <row r="14" spans="1:16" ht="17.25" x14ac:dyDescent="0.4">
      <c r="A14" t="s">
        <v>12</v>
      </c>
      <c r="C14" s="9">
        <f>C4*0.0087</f>
        <v>154404.49608287591</v>
      </c>
      <c r="F14" s="9">
        <f>F4*0.0087</f>
        <v>161712.49608287591</v>
      </c>
      <c r="I14" s="7">
        <f>I4*0.0087</f>
        <v>161712.49608287591</v>
      </c>
      <c r="L14" s="7">
        <f>L4*0.0087</f>
        <v>161722.09367999996</v>
      </c>
      <c r="M14" s="11"/>
      <c r="O14" s="13">
        <f>O4*0.0087</f>
        <v>161722.09367999996</v>
      </c>
    </row>
    <row r="15" spans="1:16" x14ac:dyDescent="0.25">
      <c r="I15" s="3"/>
      <c r="L15" s="3"/>
      <c r="M15" s="11"/>
      <c r="O15" s="3"/>
    </row>
    <row r="16" spans="1:16" x14ac:dyDescent="0.25">
      <c r="A16" s="8" t="s">
        <v>14</v>
      </c>
      <c r="C16" s="6">
        <f>SUM(C12:C14)</f>
        <v>3932877.7393063568</v>
      </c>
      <c r="D16" s="11">
        <f>C16/C4</f>
        <v>0.22159999999999999</v>
      </c>
      <c r="F16" s="6">
        <f>SUM(F12:F14)</f>
        <v>4119021.7393063568</v>
      </c>
      <c r="G16" s="11">
        <f>F16/F4</f>
        <v>0.22159999999999999</v>
      </c>
      <c r="I16" s="3">
        <f>SUM(I12:I14)</f>
        <v>4119021.7393063568</v>
      </c>
      <c r="J16" s="11">
        <f>I16/I4</f>
        <v>0.22159999999999999</v>
      </c>
      <c r="L16" s="3">
        <f>SUM(L12:L14)</f>
        <v>4119266.2022399995</v>
      </c>
      <c r="M16" s="11">
        <f>L16/L4</f>
        <v>0.22159999999999999</v>
      </c>
      <c r="O16" s="3">
        <f>SUM(O12:O14)</f>
        <v>4119266.2022399995</v>
      </c>
      <c r="P16" s="11">
        <f>O16/O4</f>
        <v>0.22159999999999999</v>
      </c>
    </row>
    <row r="17" spans="1:19" x14ac:dyDescent="0.25">
      <c r="I17" s="3"/>
      <c r="L17" s="3"/>
      <c r="M17" s="11"/>
      <c r="O17" s="3"/>
      <c r="P17" s="11"/>
    </row>
    <row r="18" spans="1:19" x14ac:dyDescent="0.25">
      <c r="A18" s="8" t="s">
        <v>15</v>
      </c>
      <c r="C18" s="5">
        <f>C9-C16</f>
        <v>14583238.440379214</v>
      </c>
      <c r="D18" s="11">
        <f>C18/C4</f>
        <v>0.8217000000000001</v>
      </c>
      <c r="F18" s="5">
        <f>F9-F16</f>
        <v>15273466.440379214</v>
      </c>
      <c r="G18" s="11">
        <f>F18/F4</f>
        <v>0.8217000000000001</v>
      </c>
      <c r="I18" s="3">
        <f>I9-I16</f>
        <v>15273466.440379214</v>
      </c>
      <c r="J18" s="11">
        <f>I18/I4</f>
        <v>0.8217000000000001</v>
      </c>
      <c r="L18" s="3">
        <f>L9-L16</f>
        <v>15274372.916879999</v>
      </c>
      <c r="M18" s="11">
        <f>L18/L4</f>
        <v>0.82169999999999999</v>
      </c>
      <c r="O18" s="3">
        <f>O9-O16</f>
        <v>15274372.916879999</v>
      </c>
      <c r="P18" s="11">
        <f>O18/O4</f>
        <v>0.82169999999999999</v>
      </c>
    </row>
    <row r="19" spans="1:19" x14ac:dyDescent="0.25">
      <c r="I19" s="3"/>
      <c r="L19" s="3"/>
      <c r="M19" s="11"/>
      <c r="O19" s="3"/>
      <c r="P19" s="11"/>
    </row>
    <row r="20" spans="1:19" x14ac:dyDescent="0.25">
      <c r="A20" s="8" t="s">
        <v>16</v>
      </c>
      <c r="I20" s="3"/>
      <c r="L20" s="3"/>
      <c r="M20" s="11"/>
      <c r="O20" s="3"/>
      <c r="P20" s="11"/>
    </row>
    <row r="21" spans="1:19" x14ac:dyDescent="0.25">
      <c r="A21" t="s">
        <v>17</v>
      </c>
      <c r="C21" s="3">
        <f>('Proforma IS Years 1 - 5'!O21*1.03)+24960</f>
        <v>1665676.9352679483</v>
      </c>
      <c r="F21" s="3">
        <f>C21*1.03</f>
        <v>1715647.2433259869</v>
      </c>
      <c r="G21" t="s">
        <v>6</v>
      </c>
      <c r="I21" s="3">
        <f>F21*1.03</f>
        <v>1767116.6606257665</v>
      </c>
      <c r="L21" s="3">
        <f>I21*1.03</f>
        <v>1820130.1604445395</v>
      </c>
      <c r="M21" s="11"/>
      <c r="O21" s="3">
        <f>L21*1.03</f>
        <v>1874734.0652578757</v>
      </c>
      <c r="P21" s="11"/>
    </row>
    <row r="22" spans="1:19" x14ac:dyDescent="0.25">
      <c r="A22" s="10" t="s">
        <v>18</v>
      </c>
      <c r="C22" s="3">
        <f>C21*0.043848</f>
        <v>73036.602257628998</v>
      </c>
      <c r="F22" s="3">
        <f>F21*0.043848</f>
        <v>75227.700325357873</v>
      </c>
      <c r="I22" s="3">
        <f>I21*0.043848</f>
        <v>77484.531335118605</v>
      </c>
      <c r="L22" s="3">
        <f>L21*0.043848</f>
        <v>79809.067275172158</v>
      </c>
      <c r="M22" s="11"/>
      <c r="O22" s="3">
        <f>O21*0.043848</f>
        <v>82203.339293427329</v>
      </c>
      <c r="P22" s="11"/>
      <c r="S22" t="s">
        <v>6</v>
      </c>
    </row>
    <row r="23" spans="1:19" x14ac:dyDescent="0.25">
      <c r="A23" s="10" t="s">
        <v>19</v>
      </c>
      <c r="C23" s="3">
        <f>0.1017*C21</f>
        <v>169399.34431675033</v>
      </c>
      <c r="F23" s="3">
        <f>0.1017*F21</f>
        <v>174481.32464625288</v>
      </c>
      <c r="I23" s="3">
        <f>0.1017*I21</f>
        <v>179715.76438564045</v>
      </c>
      <c r="L23" s="3">
        <f>0.1017*L21</f>
        <v>185107.23731720966</v>
      </c>
      <c r="M23" s="11"/>
      <c r="O23" s="3">
        <f>0.1017*O21</f>
        <v>190660.45443672597</v>
      </c>
      <c r="P23" s="11"/>
    </row>
    <row r="24" spans="1:19" x14ac:dyDescent="0.25">
      <c r="A24" s="10" t="s">
        <v>20</v>
      </c>
      <c r="C24" s="3">
        <f>('Proforma IS Years 1 - 5'!O24*1.03)+30000</f>
        <v>660950.53343805007</v>
      </c>
      <c r="F24" s="3">
        <f>C24*1.03</f>
        <v>680779.0494411916</v>
      </c>
      <c r="I24" s="3">
        <f>F24*1.03</f>
        <v>701202.42092442734</v>
      </c>
      <c r="L24" s="3">
        <f>I24*1.03</f>
        <v>722238.49355216022</v>
      </c>
      <c r="M24" s="11"/>
      <c r="O24" s="3">
        <f>L24*1.03</f>
        <v>743905.64835872501</v>
      </c>
      <c r="P24" s="11"/>
    </row>
    <row r="25" spans="1:19" x14ac:dyDescent="0.25">
      <c r="A25" s="10" t="s">
        <v>36</v>
      </c>
      <c r="C25" s="3">
        <v>190244.23</v>
      </c>
      <c r="F25" s="3">
        <v>176386.21</v>
      </c>
      <c r="I25" s="3">
        <v>161377.98000000001</v>
      </c>
      <c r="L25" s="3">
        <v>145124.07</v>
      </c>
      <c r="M25" s="11"/>
      <c r="O25" s="3">
        <v>127521.1</v>
      </c>
      <c r="P25" s="11"/>
    </row>
    <row r="26" spans="1:19" x14ac:dyDescent="0.25">
      <c r="A26" s="10" t="s">
        <v>87</v>
      </c>
      <c r="C26" s="3">
        <v>64771.86</v>
      </c>
      <c r="F26" s="3">
        <v>23576.560000000001</v>
      </c>
      <c r="I26" s="3">
        <v>0</v>
      </c>
      <c r="L26" s="3">
        <v>0</v>
      </c>
      <c r="M26" s="11"/>
      <c r="O26" s="3">
        <v>0</v>
      </c>
      <c r="P26" s="11"/>
    </row>
    <row r="27" spans="1:19" x14ac:dyDescent="0.25">
      <c r="A27" s="10" t="s">
        <v>88</v>
      </c>
      <c r="C27" s="3">
        <v>59218.78</v>
      </c>
      <c r="F27" s="3">
        <v>22207.86</v>
      </c>
      <c r="I27" s="3">
        <v>0</v>
      </c>
      <c r="L27" s="3">
        <v>0</v>
      </c>
      <c r="M27" s="11"/>
      <c r="O27" s="3">
        <v>0</v>
      </c>
      <c r="P27" s="11"/>
    </row>
    <row r="28" spans="1:19" x14ac:dyDescent="0.25">
      <c r="A28" s="10" t="s">
        <v>75</v>
      </c>
      <c r="C28" s="3">
        <v>21839</v>
      </c>
      <c r="F28" s="3">
        <v>21838.880000000001</v>
      </c>
      <c r="I28" s="3">
        <v>0</v>
      </c>
      <c r="L28" s="3">
        <v>0</v>
      </c>
      <c r="M28" s="11"/>
      <c r="O28" s="3">
        <v>0</v>
      </c>
      <c r="P28" s="11"/>
    </row>
    <row r="29" spans="1:19" x14ac:dyDescent="0.25">
      <c r="A29" s="10" t="s">
        <v>21</v>
      </c>
      <c r="C29" s="3">
        <v>27183.817768260706</v>
      </c>
      <c r="F29" s="3">
        <f>C29*1.03</f>
        <v>27999.332301308528</v>
      </c>
      <c r="I29" s="3">
        <f>F29*1.03</f>
        <v>28839.312270347786</v>
      </c>
      <c r="L29" s="3">
        <f>I29*1.03</f>
        <v>29704.491638458221</v>
      </c>
      <c r="M29" s="11"/>
      <c r="O29" s="3">
        <f>L29*1.03</f>
        <v>30595.62638761197</v>
      </c>
      <c r="P29" s="11"/>
    </row>
    <row r="30" spans="1:19" x14ac:dyDescent="0.25">
      <c r="A30" s="10" t="s">
        <v>22</v>
      </c>
      <c r="C30" s="3">
        <f>1.77*C5</f>
        <v>201045.30248584121</v>
      </c>
      <c r="F30" s="3">
        <f>1.77*F5</f>
        <v>210560.82248584123</v>
      </c>
      <c r="I30" s="3">
        <f>1.77*I5</f>
        <v>210560.82248584123</v>
      </c>
      <c r="L30" s="3">
        <f>1.77*L5</f>
        <v>210573.3192192</v>
      </c>
      <c r="M30" s="11"/>
      <c r="O30" s="3">
        <f>1.77*O5</f>
        <v>210573.3192192</v>
      </c>
      <c r="P30" s="11"/>
    </row>
    <row r="31" spans="1:19" x14ac:dyDescent="0.25">
      <c r="A31" s="10" t="s">
        <v>23</v>
      </c>
      <c r="C31" s="3">
        <v>20858.818418879902</v>
      </c>
      <c r="F31" s="3">
        <f>C31*1.03</f>
        <v>21484.5829714463</v>
      </c>
      <c r="I31" s="3">
        <f>F31*1.03</f>
        <v>22129.120460589689</v>
      </c>
      <c r="K31" t="s">
        <v>6</v>
      </c>
      <c r="L31" s="3">
        <f>I31*1.03</f>
        <v>22792.994074407379</v>
      </c>
      <c r="M31" s="11"/>
      <c r="O31" s="3">
        <f>L31*1.03</f>
        <v>23476.783896639601</v>
      </c>
      <c r="P31" s="11"/>
    </row>
    <row r="32" spans="1:19" x14ac:dyDescent="0.25">
      <c r="A32" s="10" t="s">
        <v>24</v>
      </c>
      <c r="C32" s="3">
        <v>41326.961474720709</v>
      </c>
      <c r="F32" s="3">
        <f>C32*1.03</f>
        <v>42566.770318962328</v>
      </c>
      <c r="I32" s="3">
        <f>F32*1.03</f>
        <v>43843.773428531196</v>
      </c>
      <c r="L32" s="3">
        <f>I32*1.03</f>
        <v>45159.08663138713</v>
      </c>
      <c r="M32" s="11"/>
      <c r="O32" s="3">
        <f>L32*1.03</f>
        <v>46513.859230328744</v>
      </c>
      <c r="P32" s="11"/>
    </row>
    <row r="33" spans="1:16" x14ac:dyDescent="0.25">
      <c r="A33" s="10" t="s">
        <v>25</v>
      </c>
      <c r="C33" s="3">
        <f>0.1456*C24</f>
        <v>96234.397668580088</v>
      </c>
      <c r="F33" s="3">
        <f>0.1456*F24</f>
        <v>99121.429598637507</v>
      </c>
      <c r="I33" s="3">
        <f>0.1456*I24</f>
        <v>102095.07248659662</v>
      </c>
      <c r="L33" s="3">
        <f>0.1456*L24</f>
        <v>105157.92466119453</v>
      </c>
      <c r="M33" s="11"/>
      <c r="O33" s="3">
        <f>0.1456*O24</f>
        <v>108312.66240103036</v>
      </c>
      <c r="P33" s="11"/>
    </row>
    <row r="34" spans="1:16" x14ac:dyDescent="0.25">
      <c r="A34" s="10" t="s">
        <v>26</v>
      </c>
      <c r="C34" s="3">
        <v>26110.329975458902</v>
      </c>
      <c r="F34" s="3">
        <f>C34*1.03</f>
        <v>26893.63987472267</v>
      </c>
      <c r="I34" s="3">
        <f>F34*1.03</f>
        <v>27700.449070964351</v>
      </c>
      <c r="L34" s="3">
        <f>I34*1.03</f>
        <v>28531.462543093283</v>
      </c>
      <c r="M34" s="11"/>
      <c r="O34" s="3">
        <f>L34*1.03</f>
        <v>29387.406419386083</v>
      </c>
      <c r="P34" s="11"/>
    </row>
    <row r="35" spans="1:16" x14ac:dyDescent="0.25">
      <c r="A35" s="10" t="s">
        <v>27</v>
      </c>
      <c r="C35" s="3">
        <v>500000</v>
      </c>
      <c r="F35" s="3">
        <v>500000</v>
      </c>
      <c r="I35" s="3">
        <v>500000</v>
      </c>
      <c r="L35" s="3">
        <v>500000</v>
      </c>
      <c r="M35" s="11"/>
      <c r="O35" s="3">
        <v>500000</v>
      </c>
      <c r="P35" s="11"/>
    </row>
    <row r="36" spans="1:16" x14ac:dyDescent="0.25">
      <c r="A36" s="10" t="s">
        <v>28</v>
      </c>
      <c r="C36" s="3">
        <v>16561.389425449801</v>
      </c>
      <c r="F36" s="3">
        <f>C36*1.03</f>
        <v>17058.231108213295</v>
      </c>
      <c r="I36" s="3">
        <f>F36*1.03</f>
        <v>17569.978041459693</v>
      </c>
      <c r="L36" s="3">
        <f>I36*1.03</f>
        <v>18097.077382703486</v>
      </c>
      <c r="M36" s="11"/>
      <c r="O36" s="3">
        <f>L36*1.03</f>
        <v>18639.989704184591</v>
      </c>
      <c r="P36" s="11"/>
    </row>
    <row r="37" spans="1:16" x14ac:dyDescent="0.25">
      <c r="A37" s="10" t="s">
        <v>29</v>
      </c>
      <c r="C37" s="3">
        <v>23185.481486000001</v>
      </c>
      <c r="F37" s="3">
        <f>C37*1.03</f>
        <v>23881.04593058</v>
      </c>
      <c r="I37" s="3">
        <f>F37*1.03</f>
        <v>24597.4773084974</v>
      </c>
      <c r="L37" s="3">
        <f>I37*1.03</f>
        <v>25335.401627752322</v>
      </c>
      <c r="M37" s="11"/>
      <c r="O37" s="3">
        <f>L37*1.03</f>
        <v>26095.463676584892</v>
      </c>
      <c r="P37" s="11"/>
    </row>
    <row r="38" spans="1:16" x14ac:dyDescent="0.25">
      <c r="A38" s="10" t="s">
        <v>30</v>
      </c>
      <c r="C38" s="3">
        <f>0.001197*C4</f>
        <v>21243.928943816376</v>
      </c>
      <c r="F38" s="3">
        <f>0.001197*F4</f>
        <v>22249.408943816376</v>
      </c>
      <c r="I38" s="3">
        <f>0.001197*I4</f>
        <v>22249.408943816376</v>
      </c>
      <c r="L38" s="3">
        <f>0.001197*L4</f>
        <v>22250.729440799998</v>
      </c>
      <c r="M38" s="11"/>
      <c r="O38" s="3">
        <f>0.001197*O4</f>
        <v>22250.729440799998</v>
      </c>
      <c r="P38" s="11"/>
    </row>
    <row r="39" spans="1:16" x14ac:dyDescent="0.25">
      <c r="A39" s="10" t="s">
        <v>34</v>
      </c>
      <c r="C39" s="3">
        <v>15000</v>
      </c>
      <c r="F39" s="3">
        <f>C39*1.25</f>
        <v>18750</v>
      </c>
      <c r="I39" s="3">
        <v>18750</v>
      </c>
      <c r="L39" s="3">
        <v>18750</v>
      </c>
      <c r="M39" s="11"/>
      <c r="O39" s="3">
        <f>L39*1.25</f>
        <v>23437.5</v>
      </c>
      <c r="P39" s="11"/>
    </row>
    <row r="40" spans="1:16" x14ac:dyDescent="0.25">
      <c r="A40" s="10" t="s">
        <v>31</v>
      </c>
      <c r="C40" s="7">
        <v>30000</v>
      </c>
      <c r="F40" s="7">
        <f>C40*1.03</f>
        <v>30900</v>
      </c>
      <c r="I40" s="7">
        <f>F40*1.03</f>
        <v>31827</v>
      </c>
      <c r="L40" s="7">
        <f>I40*1.03</f>
        <v>32781.81</v>
      </c>
      <c r="M40" s="11"/>
      <c r="O40" s="7">
        <f>L40*1.03</f>
        <v>33765.264299999995</v>
      </c>
      <c r="P40" s="11"/>
    </row>
    <row r="41" spans="1:16" ht="7.5" customHeight="1" x14ac:dyDescent="0.25">
      <c r="I41" s="3"/>
      <c r="L41" s="3"/>
      <c r="M41" s="11"/>
      <c r="O41" s="3"/>
      <c r="P41" s="11"/>
    </row>
    <row r="42" spans="1:16" x14ac:dyDescent="0.25">
      <c r="A42" s="8" t="s">
        <v>32</v>
      </c>
      <c r="C42" s="5">
        <f>SUM(C21:C40)</f>
        <v>3923887.7129273857</v>
      </c>
      <c r="D42" s="11">
        <f>C42/C4</f>
        <v>0.22109345238330969</v>
      </c>
      <c r="F42" s="5">
        <f>SUM(F21:F40)</f>
        <v>3931610.0912723169</v>
      </c>
      <c r="G42" s="11">
        <f>F42/F4</f>
        <v>0.21151740664827445</v>
      </c>
      <c r="I42" s="3">
        <f>SUM(I21:I40)</f>
        <v>3937059.7717675981</v>
      </c>
      <c r="J42" s="11">
        <f>I42/I4</f>
        <v>0.2118105950007976</v>
      </c>
      <c r="L42" s="3">
        <f>SUM(L21:L40)</f>
        <v>4011543.3258080776</v>
      </c>
      <c r="M42" s="11">
        <f>L42/L4</f>
        <v>0.21580494130621297</v>
      </c>
      <c r="O42" s="3">
        <f>SUM(O21:O40)</f>
        <v>4092073.2120225201</v>
      </c>
      <c r="P42" s="11">
        <f>O42/O4</f>
        <v>0.2201371261927873</v>
      </c>
    </row>
    <row r="43" spans="1:16" x14ac:dyDescent="0.25">
      <c r="I43" s="3"/>
      <c r="L43" s="3"/>
      <c r="M43" s="11"/>
      <c r="O43" s="3"/>
      <c r="P43" s="11"/>
    </row>
    <row r="44" spans="1:16" x14ac:dyDescent="0.25">
      <c r="A44" s="8" t="s">
        <v>68</v>
      </c>
      <c r="C44" s="5">
        <f>C18-C42</f>
        <v>10659350.727451827</v>
      </c>
      <c r="D44" s="11">
        <f>C44/C4</f>
        <v>0.6006065476166903</v>
      </c>
      <c r="F44" s="5">
        <f>F18-F42</f>
        <v>11341856.349106897</v>
      </c>
      <c r="G44" s="11">
        <f>F44/F4</f>
        <v>0.61018259335172564</v>
      </c>
      <c r="I44" s="3">
        <f>I18-I42</f>
        <v>11336406.668611616</v>
      </c>
      <c r="J44" s="11">
        <f>I44/I4</f>
        <v>0.60988940499920241</v>
      </c>
      <c r="L44" s="3">
        <f>L18-L42</f>
        <v>11262829.59107192</v>
      </c>
      <c r="M44" s="11">
        <f>L44/L4</f>
        <v>0.60589505869378701</v>
      </c>
      <c r="O44" s="3">
        <f>O18-O42</f>
        <v>11182299.704857478</v>
      </c>
      <c r="P44" s="11">
        <f>O44/O4</f>
        <v>0.60156287380721263</v>
      </c>
    </row>
    <row r="45" spans="1:16" x14ac:dyDescent="0.25">
      <c r="A45" s="8"/>
      <c r="C45" s="5"/>
      <c r="D45" s="11"/>
      <c r="F45" s="5"/>
      <c r="G45" s="11"/>
      <c r="I45" s="3"/>
      <c r="J45" s="11"/>
      <c r="L45" s="3"/>
      <c r="M45" s="11"/>
      <c r="O45" s="3"/>
      <c r="P45" s="11"/>
    </row>
    <row r="46" spans="1:16" x14ac:dyDescent="0.25">
      <c r="A46" s="8" t="s">
        <v>67</v>
      </c>
      <c r="C46" s="5">
        <f>0.4*C44</f>
        <v>4263740.2909807311</v>
      </c>
      <c r="D46" s="11"/>
      <c r="F46" s="5">
        <f>0.4*F44</f>
        <v>4536742.5396427587</v>
      </c>
      <c r="G46" s="11"/>
      <c r="I46" s="5">
        <f>0.4*I44</f>
        <v>4534562.6674446464</v>
      </c>
      <c r="J46" s="11"/>
      <c r="L46" s="5">
        <f>0.4*L44</f>
        <v>4505131.836428768</v>
      </c>
      <c r="M46" s="11"/>
      <c r="O46" s="5">
        <f>0.4*O44</f>
        <v>4472919.8819429912</v>
      </c>
      <c r="P46" s="11"/>
    </row>
    <row r="47" spans="1:16" x14ac:dyDescent="0.25">
      <c r="A47" s="8"/>
      <c r="C47" s="5"/>
      <c r="D47" s="11"/>
      <c r="F47" s="5"/>
      <c r="G47" s="11"/>
      <c r="I47" s="3"/>
      <c r="J47" s="11"/>
      <c r="L47" s="3"/>
      <c r="M47" s="11"/>
      <c r="O47" s="3"/>
      <c r="P47" s="11"/>
    </row>
    <row r="48" spans="1:16" x14ac:dyDescent="0.25">
      <c r="A48" s="8" t="s">
        <v>33</v>
      </c>
      <c r="C48" s="5">
        <f>C44-C46</f>
        <v>6395610.4364710962</v>
      </c>
      <c r="D48" s="11"/>
      <c r="F48" s="5">
        <f>F44-F46</f>
        <v>6805113.809464138</v>
      </c>
      <c r="G48" s="11"/>
      <c r="I48" s="5">
        <f>I44-I46</f>
        <v>6801844.0011669695</v>
      </c>
      <c r="J48" s="11"/>
      <c r="L48" s="5">
        <f>L44-L46</f>
        <v>6757697.7546431525</v>
      </c>
      <c r="M48" s="11"/>
      <c r="O48" s="5">
        <f>O44-O46</f>
        <v>6709379.8229144868</v>
      </c>
      <c r="P48" s="11"/>
    </row>
    <row r="49" spans="1:17" x14ac:dyDescent="0.25">
      <c r="A49" s="8"/>
      <c r="C49" s="5"/>
      <c r="D49" s="11"/>
      <c r="F49" s="5"/>
      <c r="G49" s="11"/>
      <c r="I49" s="3"/>
      <c r="J49" s="11"/>
      <c r="L49" s="3"/>
      <c r="M49" s="11"/>
      <c r="O49" s="3"/>
      <c r="P49" s="11"/>
    </row>
    <row r="50" spans="1:17" x14ac:dyDescent="0.25">
      <c r="A50" t="s">
        <v>35</v>
      </c>
      <c r="C50" s="3">
        <f>4300000+-1*('Statement of Cash Flows'!G26+'Statement of Cash Flows'!K26+'Statement of Cash Flows'!O26+'Statement of Cash Flows'!S26+0.5*'Statement of Cash Flows'!W26)</f>
        <v>10564073.349950461</v>
      </c>
      <c r="D50" s="2" t="s">
        <v>6</v>
      </c>
      <c r="F50" s="3">
        <f>4300000+-1*('Statement of Cash Flows'!G26+'Statement of Cash Flows'!K26+'Statement of Cash Flows'!O26+'Statement of Cash Flows'!S26+'Statement of Cash Flows'!W26+0.5*'Statement of Cash Flows'!AA26 )</f>
        <v>11064073.349950461</v>
      </c>
      <c r="I50" s="3">
        <f>4300000+-1*('Statement of Cash Flows'!G26+'Statement of Cash Flows'!K26+'Statement of Cash Flows'!O26+'Statement of Cash Flows'!S26+'Statement of Cash Flows'!W26+'Statement of Cash Flows'!AA26)</f>
        <v>11064073.349950461</v>
      </c>
      <c r="L50" s="3">
        <v>11064730</v>
      </c>
      <c r="O50" s="3">
        <v>11064730</v>
      </c>
      <c r="Q50" t="s">
        <v>6</v>
      </c>
    </row>
    <row r="51" spans="1:17" x14ac:dyDescent="0.25">
      <c r="C51" s="3"/>
      <c r="D51" s="2"/>
      <c r="F51" s="3"/>
      <c r="I51" s="3"/>
      <c r="L51" s="3"/>
      <c r="O51" s="3"/>
    </row>
    <row r="52" spans="1:17" x14ac:dyDescent="0.25">
      <c r="A52" t="s">
        <v>94</v>
      </c>
      <c r="C52" s="3">
        <f>C44+C28+C27+C26+C25</f>
        <v>10995424.597451827</v>
      </c>
      <c r="F52" s="3">
        <f>F44+F28+F27+F26+F25</f>
        <v>11585865.859106898</v>
      </c>
      <c r="I52" s="3">
        <f>I44+I28+I27+I26+I25</f>
        <v>11497784.648611616</v>
      </c>
      <c r="L52" s="3">
        <f>L44+L28+L27+L26+L25</f>
        <v>11407953.661071921</v>
      </c>
      <c r="O52" s="3">
        <f>O44+O28+O27+O26+O25</f>
        <v>11309820.804857478</v>
      </c>
    </row>
    <row r="54" spans="1:17" x14ac:dyDescent="0.25">
      <c r="A54" t="s">
        <v>95</v>
      </c>
      <c r="C54" s="5">
        <f>4*C52</f>
        <v>43981698.389807306</v>
      </c>
      <c r="F54" s="5">
        <f>4*F52</f>
        <v>46343463.436427593</v>
      </c>
      <c r="I54" s="5">
        <f>4*I52</f>
        <v>45991138.594446465</v>
      </c>
      <c r="L54" s="5">
        <f>4*L52</f>
        <v>45631814.644287683</v>
      </c>
      <c r="O54" s="5">
        <f>4*O52</f>
        <v>45239283.21942991</v>
      </c>
    </row>
    <row r="55" spans="1:17" x14ac:dyDescent="0.25">
      <c r="A55" t="s">
        <v>96</v>
      </c>
      <c r="C55" s="7">
        <f>'BS Years 6-10'!E45</f>
        <v>3817846.87</v>
      </c>
      <c r="D55" s="3"/>
      <c r="E55" s="3"/>
      <c r="F55" s="7">
        <f>'BS Years 6-10'!G45</f>
        <v>2910459.3400000003</v>
      </c>
      <c r="G55" s="3"/>
      <c r="H55" s="3"/>
      <c r="I55" s="7">
        <f>'BS Years 6-10'!I45</f>
        <v>1909857.34</v>
      </c>
      <c r="J55" s="3"/>
      <c r="K55" s="3"/>
      <c r="L55" s="7">
        <f>'BS Years 6-10'!K45</f>
        <v>1697772.06</v>
      </c>
      <c r="M55" s="3"/>
      <c r="N55" s="3"/>
      <c r="O55" s="7">
        <f>'BS Years 6-10'!M45</f>
        <v>1468083.8</v>
      </c>
    </row>
    <row r="56" spans="1:17" ht="6.75" customHeight="1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7" x14ac:dyDescent="0.25">
      <c r="A57" t="s">
        <v>97</v>
      </c>
      <c r="C57" s="3">
        <f>C54-C55</f>
        <v>40163851.519807309</v>
      </c>
      <c r="D57" s="3"/>
      <c r="E57" s="3"/>
      <c r="F57" s="3">
        <f>F54-F55</f>
        <v>43433004.09642759</v>
      </c>
      <c r="G57" s="3"/>
      <c r="H57" s="3"/>
      <c r="I57" s="3">
        <f>I54-I55</f>
        <v>44081281.254446462</v>
      </c>
      <c r="J57" s="3"/>
      <c r="K57" s="3"/>
      <c r="L57" s="3">
        <f>L54-L55</f>
        <v>43934042.584287681</v>
      </c>
      <c r="M57" s="3"/>
      <c r="N57" s="3"/>
      <c r="O57" s="3">
        <f>O54-O55</f>
        <v>43771199.419429913</v>
      </c>
    </row>
    <row r="59" spans="1:17" x14ac:dyDescent="0.25">
      <c r="A59" t="s">
        <v>104</v>
      </c>
      <c r="C59" s="3">
        <v>0</v>
      </c>
      <c r="D59" s="3"/>
      <c r="E59" s="3"/>
      <c r="F59" s="3">
        <v>0</v>
      </c>
      <c r="G59" s="3"/>
      <c r="H59" s="3"/>
      <c r="I59" s="3">
        <v>0</v>
      </c>
      <c r="J59" s="3"/>
      <c r="K59" s="3"/>
      <c r="L59" s="3">
        <v>0</v>
      </c>
      <c r="M59" s="3"/>
      <c r="N59" s="3"/>
      <c r="O59" s="3">
        <v>0</v>
      </c>
    </row>
    <row r="60" spans="1:17" x14ac:dyDescent="0.25">
      <c r="A60" t="s">
        <v>105</v>
      </c>
      <c r="C60" s="7">
        <f>-'Statement of Cash Flows'!W21</f>
        <v>2919148.5</v>
      </c>
      <c r="D60" s="3"/>
      <c r="E60" s="3"/>
      <c r="F60" s="7">
        <f>-'Statement of Cash Flows'!AA21</f>
        <v>2920679.5</v>
      </c>
      <c r="G60" s="3"/>
      <c r="H60" s="3"/>
      <c r="I60" s="7">
        <f>-'Statement of Cash Flows'!AE21</f>
        <v>3303006.5</v>
      </c>
      <c r="J60" s="3"/>
      <c r="K60" s="3"/>
      <c r="L60" s="7">
        <f>-'Statement of Cash Flows'!AI21</f>
        <v>3272806.5</v>
      </c>
      <c r="M60" s="3"/>
      <c r="N60" s="3"/>
      <c r="O60" s="7">
        <f>-'Statement of Cash Flows'!AM21</f>
        <v>3239846</v>
      </c>
    </row>
    <row r="61" spans="1:17" ht="7.5" customHeight="1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7" x14ac:dyDescent="0.25">
      <c r="A62" t="s">
        <v>101</v>
      </c>
      <c r="C62" s="3">
        <f>SUM(C59:C60)</f>
        <v>2919148.5</v>
      </c>
      <c r="D62" s="3"/>
      <c r="E62" s="3"/>
      <c r="F62" s="3">
        <f>SUM(F59:F60)</f>
        <v>2920679.5</v>
      </c>
      <c r="G62" s="3"/>
      <c r="H62" s="3"/>
      <c r="I62" s="3">
        <f>SUM(I59:I60)</f>
        <v>3303006.5</v>
      </c>
      <c r="J62" s="3"/>
      <c r="K62" s="3"/>
      <c r="L62" s="3">
        <f>SUM(L59:L60)</f>
        <v>3272806.5</v>
      </c>
      <c r="M62" s="3"/>
      <c r="N62" s="3"/>
      <c r="O62" s="3">
        <f>SUM(O59:O60)</f>
        <v>3239846</v>
      </c>
    </row>
    <row r="63" spans="1:17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7" x14ac:dyDescent="0.25">
      <c r="A64" t="s">
        <v>102</v>
      </c>
      <c r="C64" s="3">
        <f>(C62/3000000)*100000</f>
        <v>97304.95</v>
      </c>
      <c r="D64" s="3"/>
      <c r="E64" s="3"/>
      <c r="F64" s="3">
        <f>(F62/3000000)*100000</f>
        <v>97355.983333333323</v>
      </c>
      <c r="G64" s="3"/>
      <c r="H64" s="3"/>
      <c r="I64" s="3">
        <f>(I62/3000000)*100000</f>
        <v>110100.21666666667</v>
      </c>
      <c r="J64" s="3"/>
      <c r="K64" s="3"/>
      <c r="L64" s="3">
        <f>(L62/3000000)*100000</f>
        <v>109093.55</v>
      </c>
      <c r="M64" s="3"/>
      <c r="N64" s="3"/>
      <c r="O64" s="3">
        <f>(O62/3000000)*100000</f>
        <v>107994.86666666667</v>
      </c>
    </row>
    <row r="66" spans="1:15" x14ac:dyDescent="0.25">
      <c r="A66" t="s">
        <v>106</v>
      </c>
      <c r="C66" s="3">
        <f>'Proforma IS Years 1 - 5'!O60+'IS Years 6 - 10'!C60</f>
        <v>6619148.5</v>
      </c>
      <c r="F66" s="3">
        <f>C66+F60</f>
        <v>9539828</v>
      </c>
      <c r="I66" s="3">
        <f>F66+I60</f>
        <v>12842834.5</v>
      </c>
      <c r="L66" s="3">
        <f>I66+L60</f>
        <v>16115641</v>
      </c>
      <c r="O66" s="3">
        <f>L66+O60</f>
        <v>19355487</v>
      </c>
    </row>
  </sheetData>
  <pageMargins left="0.7" right="0.7" top="0.75" bottom="0.75" header="0.3" footer="0.3"/>
  <pageSetup scale="54" orientation="landscape" r:id="rId1"/>
  <headerFooter>
    <oddHeader>&amp;C&amp;14Money Train, LLC Five-Year Proforma</oddHeader>
  </headerFooter>
  <ignoredErrors>
    <ignoredError sqref="F30 I30 L30 O30 F33 I33 L33 O33 F22 I22 L22 O22" formula="1"/>
    <ignoredError sqref="C30 C18:D18 C16:D16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16" workbookViewId="0">
      <selection activeCell="Q26" sqref="Q26"/>
    </sheetView>
  </sheetViews>
  <sheetFormatPr defaultRowHeight="15" x14ac:dyDescent="0.25"/>
  <cols>
    <col min="1" max="1" width="29.5703125" customWidth="1"/>
    <col min="2" max="2" width="2" customWidth="1"/>
    <col min="3" max="3" width="33.42578125" customWidth="1"/>
    <col min="4" max="4" width="3.42578125" customWidth="1"/>
    <col min="5" max="5" width="13.28515625" customWidth="1"/>
    <col min="6" max="6" width="3.5703125" customWidth="1"/>
    <col min="7" max="7" width="13.5703125" customWidth="1"/>
    <col min="8" max="8" width="3.5703125" customWidth="1"/>
    <col min="9" max="9" width="14.28515625" bestFit="1" customWidth="1"/>
    <col min="10" max="10" width="3.5703125" customWidth="1"/>
    <col min="11" max="11" width="14.28515625" bestFit="1" customWidth="1"/>
    <col min="12" max="12" width="3.5703125" customWidth="1"/>
    <col min="13" max="13" width="14.28515625" bestFit="1" customWidth="1"/>
  </cols>
  <sheetData>
    <row r="1" spans="1:13" x14ac:dyDescent="0.25">
      <c r="E1" s="15">
        <v>41640</v>
      </c>
      <c r="F1" s="14"/>
      <c r="G1" s="15">
        <v>42005</v>
      </c>
      <c r="H1" s="14"/>
      <c r="I1" s="15">
        <v>42370</v>
      </c>
      <c r="J1" s="14"/>
      <c r="K1" s="15">
        <v>42736</v>
      </c>
      <c r="L1" s="14"/>
      <c r="M1" s="15">
        <v>43101</v>
      </c>
    </row>
    <row r="2" spans="1:13" ht="6.75" customHeight="1" x14ac:dyDescent="0.25"/>
    <row r="3" spans="1:13" x14ac:dyDescent="0.25">
      <c r="A3" s="8" t="s">
        <v>37</v>
      </c>
      <c r="B3" s="8"/>
      <c r="C3" s="8"/>
    </row>
    <row r="4" spans="1:13" ht="8.25" customHeight="1" x14ac:dyDescent="0.25"/>
    <row r="5" spans="1:13" x14ac:dyDescent="0.25">
      <c r="A5" t="s">
        <v>38</v>
      </c>
    </row>
    <row r="6" spans="1:13" ht="8.25" customHeight="1" x14ac:dyDescent="0.25"/>
    <row r="7" spans="1:13" x14ac:dyDescent="0.25">
      <c r="A7" t="s">
        <v>39</v>
      </c>
      <c r="C7" t="s">
        <v>40</v>
      </c>
      <c r="E7" s="3">
        <v>0</v>
      </c>
      <c r="G7" s="3">
        <v>0</v>
      </c>
      <c r="H7" s="3"/>
      <c r="I7" s="3">
        <v>0</v>
      </c>
      <c r="J7" s="3"/>
      <c r="K7" s="3">
        <v>0</v>
      </c>
      <c r="L7" s="3"/>
      <c r="M7" s="3">
        <v>0</v>
      </c>
    </row>
    <row r="8" spans="1:13" x14ac:dyDescent="0.25">
      <c r="C8" t="s">
        <v>41</v>
      </c>
      <c r="E8" s="3">
        <v>1250000</v>
      </c>
      <c r="G8" s="3">
        <f>'Statement of Cash Flows'!E36</f>
        <v>853446.82046879944</v>
      </c>
      <c r="H8" s="3"/>
      <c r="I8" s="3">
        <f>'Statement of Cash Flows'!I36</f>
        <v>1364804.7128030956</v>
      </c>
      <c r="J8" s="3"/>
      <c r="K8" s="3">
        <f>'Statement of Cash Flows'!M36</f>
        <v>1973933.8166785662</v>
      </c>
      <c r="L8" s="3"/>
      <c r="M8" s="3">
        <f>'Statement of Cash Flows'!Q36</f>
        <v>2827631.2417732887</v>
      </c>
    </row>
    <row r="9" spans="1:13" x14ac:dyDescent="0.25">
      <c r="C9" t="s">
        <v>100</v>
      </c>
      <c r="E9" s="7">
        <v>3300000</v>
      </c>
      <c r="G9" s="16">
        <f>E9-'Statement of Cash Flows'!C26</f>
        <v>4300000</v>
      </c>
      <c r="H9" s="3"/>
      <c r="I9" s="16">
        <f>G9-'Statement of Cash Flows'!G26</f>
        <v>4903446.8204687992</v>
      </c>
      <c r="J9" s="3"/>
      <c r="K9" s="16">
        <f>I9-'Statement of Cash Flows'!K26</f>
        <v>6018251.5332718948</v>
      </c>
      <c r="L9" s="3"/>
      <c r="M9" s="16">
        <f>K9-'Statement of Cash Flows'!O26</f>
        <v>7742185.3499504607</v>
      </c>
    </row>
    <row r="10" spans="1:13" ht="7.5" customHeight="1" x14ac:dyDescent="0.25">
      <c r="E10" s="3"/>
      <c r="G10" s="3"/>
      <c r="H10" s="3"/>
      <c r="I10" s="3"/>
      <c r="J10" s="3"/>
      <c r="K10" s="3"/>
      <c r="L10" s="3"/>
      <c r="M10" s="3"/>
    </row>
    <row r="11" spans="1:13" x14ac:dyDescent="0.25">
      <c r="A11" t="s">
        <v>42</v>
      </c>
      <c r="E11" s="3">
        <f>SUM(E7:E9)</f>
        <v>4550000</v>
      </c>
      <c r="G11" s="3">
        <f>SUM(G7:G9)</f>
        <v>5153446.8204687992</v>
      </c>
      <c r="H11" s="3"/>
      <c r="I11" s="3">
        <f>SUM(I7:I9)</f>
        <v>6268251.5332718948</v>
      </c>
      <c r="J11" s="3"/>
      <c r="K11" s="3">
        <f>SUM(K7:K9)</f>
        <v>7992185.3499504607</v>
      </c>
      <c r="L11" s="3"/>
      <c r="M11" s="3">
        <f>SUM(M7:M9)</f>
        <v>10569816.591723749</v>
      </c>
    </row>
    <row r="12" spans="1:13" x14ac:dyDescent="0.25">
      <c r="E12" s="3"/>
      <c r="G12" s="3"/>
      <c r="H12" s="3"/>
      <c r="I12" s="3"/>
      <c r="J12" s="3"/>
      <c r="K12" s="3"/>
      <c r="L12" s="3"/>
      <c r="M12" s="3"/>
    </row>
    <row r="13" spans="1:13" x14ac:dyDescent="0.25">
      <c r="A13" t="s">
        <v>43</v>
      </c>
      <c r="E13" s="3"/>
      <c r="G13" s="3"/>
      <c r="H13" s="3"/>
      <c r="I13" s="3"/>
      <c r="J13" s="3"/>
      <c r="K13" s="3"/>
      <c r="L13" s="3"/>
      <c r="M13" s="3"/>
    </row>
    <row r="14" spans="1:13" ht="7.5" customHeight="1" x14ac:dyDescent="0.25">
      <c r="E14" s="3"/>
      <c r="G14" s="3"/>
      <c r="H14" s="3"/>
      <c r="I14" s="3"/>
      <c r="J14" s="3"/>
      <c r="K14" s="3"/>
      <c r="L14" s="3"/>
      <c r="M14" s="3"/>
    </row>
    <row r="15" spans="1:13" x14ac:dyDescent="0.25">
      <c r="C15" t="s">
        <v>44</v>
      </c>
      <c r="E15" s="3">
        <v>3606.64</v>
      </c>
      <c r="G15" s="3">
        <f>E15*(6/7)</f>
        <v>3091.4057142857141</v>
      </c>
      <c r="H15" s="3"/>
      <c r="I15" s="3">
        <f>$E15*(5/7)</f>
        <v>2576.1714285714284</v>
      </c>
      <c r="J15" s="3"/>
      <c r="K15" s="3">
        <f>$E15*(4/7)</f>
        <v>2060.9371428571426</v>
      </c>
      <c r="L15" s="3"/>
      <c r="M15" s="3">
        <f>$E15*(3/7)</f>
        <v>1545.7028571428571</v>
      </c>
    </row>
    <row r="16" spans="1:13" x14ac:dyDescent="0.25">
      <c r="C16" t="s">
        <v>45</v>
      </c>
      <c r="E16" s="3">
        <v>59400</v>
      </c>
      <c r="G16" s="3">
        <f t="shared" ref="G16:G17" si="0">E16*(6/7)</f>
        <v>50914.28571428571</v>
      </c>
      <c r="H16" s="3"/>
      <c r="I16" s="3">
        <f t="shared" ref="I16:I17" si="1">$E16*(5/7)</f>
        <v>42428.571428571428</v>
      </c>
      <c r="J16" s="3"/>
      <c r="K16" s="3">
        <f>$E16*(4/7)</f>
        <v>33942.857142857138</v>
      </c>
      <c r="L16" s="3"/>
      <c r="M16" s="3">
        <f>$E16*(3/7)</f>
        <v>25457.142857142855</v>
      </c>
    </row>
    <row r="17" spans="1:13" x14ac:dyDescent="0.25">
      <c r="C17" t="s">
        <v>46</v>
      </c>
      <c r="E17" s="7">
        <v>89865.5</v>
      </c>
      <c r="G17" s="7">
        <f t="shared" si="0"/>
        <v>77027.57142857142</v>
      </c>
      <c r="H17" s="3"/>
      <c r="I17" s="7">
        <f t="shared" si="1"/>
        <v>64189.642857142855</v>
      </c>
      <c r="J17" s="3"/>
      <c r="K17" s="7">
        <f>$E17*(4/7)</f>
        <v>51351.714285714283</v>
      </c>
      <c r="L17" s="3"/>
      <c r="M17" s="7">
        <f>$E17*(3/7)</f>
        <v>38513.78571428571</v>
      </c>
    </row>
    <row r="18" spans="1:13" ht="7.5" customHeight="1" x14ac:dyDescent="0.25">
      <c r="E18" s="3"/>
      <c r="G18" s="3"/>
      <c r="H18" s="3"/>
      <c r="I18" s="3"/>
      <c r="J18" s="3"/>
      <c r="K18" s="3"/>
      <c r="L18" s="3"/>
      <c r="M18" s="3"/>
    </row>
    <row r="19" spans="1:13" x14ac:dyDescent="0.25">
      <c r="A19" t="s">
        <v>47</v>
      </c>
      <c r="E19" s="3">
        <f>SUM(E15:E17)</f>
        <v>152872.14000000001</v>
      </c>
      <c r="G19" s="3">
        <f>SUM(G15:G17)</f>
        <v>131033.26285714284</v>
      </c>
      <c r="H19" s="3"/>
      <c r="I19" s="3">
        <f>SUM(I15:I17)</f>
        <v>109194.38571428572</v>
      </c>
      <c r="J19" s="3"/>
      <c r="K19" s="3">
        <f>SUM(K15:K17)</f>
        <v>87355.508571428567</v>
      </c>
      <c r="L19" s="3"/>
      <c r="M19" s="3">
        <f>SUM(M15:M17)</f>
        <v>65516.631428571418</v>
      </c>
    </row>
    <row r="20" spans="1:13" x14ac:dyDescent="0.25">
      <c r="E20" s="3"/>
      <c r="G20" s="3"/>
      <c r="H20" s="3"/>
      <c r="I20" s="3"/>
      <c r="J20" s="3"/>
      <c r="K20" s="3"/>
      <c r="L20" s="3"/>
      <c r="M20" s="3"/>
    </row>
    <row r="21" spans="1:13" x14ac:dyDescent="0.25">
      <c r="A21" t="s">
        <v>49</v>
      </c>
      <c r="E21" s="3"/>
      <c r="G21" s="3"/>
      <c r="H21" s="3"/>
      <c r="I21" s="3"/>
      <c r="J21" s="3"/>
      <c r="K21" s="3"/>
      <c r="L21" s="3"/>
      <c r="M21" s="3"/>
    </row>
    <row r="22" spans="1:13" ht="7.5" customHeight="1" x14ac:dyDescent="0.25">
      <c r="E22" s="3"/>
      <c r="G22" s="3"/>
      <c r="H22" s="3"/>
      <c r="I22" s="3"/>
      <c r="J22" s="3"/>
      <c r="K22" s="3"/>
      <c r="L22" s="3"/>
      <c r="M22" s="3"/>
    </row>
    <row r="23" spans="1:13" x14ac:dyDescent="0.25">
      <c r="C23" t="s">
        <v>50</v>
      </c>
      <c r="E23" s="3">
        <v>5297128</v>
      </c>
      <c r="G23" s="3">
        <v>5297128</v>
      </c>
      <c r="H23" s="3"/>
      <c r="I23" s="3">
        <v>5297128</v>
      </c>
      <c r="J23" s="3"/>
      <c r="K23" s="3">
        <v>5297128</v>
      </c>
      <c r="L23" s="3"/>
      <c r="M23" s="3">
        <v>5297128</v>
      </c>
    </row>
    <row r="24" spans="1:13" x14ac:dyDescent="0.25">
      <c r="C24" t="s">
        <v>51</v>
      </c>
      <c r="E24" s="7">
        <v>0</v>
      </c>
      <c r="G24" s="16">
        <v>0</v>
      </c>
      <c r="H24" s="3"/>
      <c r="I24" s="16">
        <v>0</v>
      </c>
      <c r="J24" s="3"/>
      <c r="K24" s="16">
        <v>0</v>
      </c>
      <c r="L24" s="3"/>
      <c r="M24" s="16">
        <v>0</v>
      </c>
    </row>
    <row r="25" spans="1:13" ht="8.25" customHeight="1" x14ac:dyDescent="0.25">
      <c r="E25" s="3"/>
      <c r="G25" s="3"/>
      <c r="H25" s="3"/>
      <c r="I25" s="3"/>
      <c r="J25" s="3"/>
      <c r="K25" s="3"/>
      <c r="L25" s="3"/>
      <c r="M25" s="3"/>
    </row>
    <row r="26" spans="1:13" x14ac:dyDescent="0.25">
      <c r="A26" t="s">
        <v>52</v>
      </c>
      <c r="E26" s="3">
        <f>SUM(E23:E24)</f>
        <v>5297128</v>
      </c>
      <c r="G26" s="3">
        <f>SUM(G23:G24)</f>
        <v>5297128</v>
      </c>
      <c r="H26" s="3"/>
      <c r="I26" s="3">
        <f>SUM(I23:I24)</f>
        <v>5297128</v>
      </c>
      <c r="J26" s="3"/>
      <c r="K26" s="3">
        <f>SUM(K23:K24)</f>
        <v>5297128</v>
      </c>
      <c r="L26" s="3"/>
      <c r="M26" s="3">
        <f>SUM(M23:M24)</f>
        <v>5297128</v>
      </c>
    </row>
    <row r="27" spans="1:13" x14ac:dyDescent="0.25">
      <c r="E27" s="3"/>
      <c r="G27" s="3"/>
      <c r="H27" s="3"/>
      <c r="I27" s="3"/>
      <c r="J27" s="3"/>
      <c r="K27" s="3"/>
      <c r="L27" s="3"/>
      <c r="M27" s="3"/>
    </row>
    <row r="28" spans="1:13" x14ac:dyDescent="0.25">
      <c r="A28" s="8" t="s">
        <v>48</v>
      </c>
      <c r="E28" s="3">
        <f>SUM(E11,E19,E26)</f>
        <v>10000000.140000001</v>
      </c>
      <c r="G28" s="3">
        <f>SUM(G11,G19,G26)</f>
        <v>10581608.083325941</v>
      </c>
      <c r="H28" s="3"/>
      <c r="I28" s="3">
        <f>SUM(I11,I19,I26)</f>
        <v>11674573.918986181</v>
      </c>
      <c r="J28" s="3"/>
      <c r="K28" s="3">
        <f>SUM(K11,K19,K26)</f>
        <v>13376668.85852189</v>
      </c>
      <c r="L28" s="3"/>
      <c r="M28" s="3">
        <f>SUM(M11,M19,M26)</f>
        <v>15932461.223152321</v>
      </c>
    </row>
    <row r="29" spans="1:13" x14ac:dyDescent="0.25">
      <c r="E29" s="3"/>
      <c r="G29" s="3"/>
      <c r="H29" s="3"/>
      <c r="I29" s="3"/>
      <c r="J29" s="3"/>
      <c r="K29" s="3"/>
      <c r="L29" s="3"/>
      <c r="M29" s="3"/>
    </row>
    <row r="30" spans="1:13" x14ac:dyDescent="0.25">
      <c r="A30" s="8" t="s">
        <v>53</v>
      </c>
      <c r="E30" s="3"/>
      <c r="G30" s="3"/>
      <c r="H30" s="3"/>
      <c r="I30" s="3"/>
      <c r="J30" s="3"/>
      <c r="K30" s="3"/>
      <c r="L30" s="3"/>
      <c r="M30" s="3"/>
    </row>
    <row r="31" spans="1:13" ht="7.5" customHeight="1" x14ac:dyDescent="0.25">
      <c r="E31" s="3"/>
      <c r="G31" s="3"/>
      <c r="H31" s="3"/>
      <c r="I31" s="3"/>
      <c r="J31" s="3"/>
      <c r="K31" s="3"/>
      <c r="L31" s="3"/>
      <c r="M31" s="3"/>
    </row>
    <row r="32" spans="1:13" x14ac:dyDescent="0.25">
      <c r="A32" t="s">
        <v>54</v>
      </c>
      <c r="E32" s="3"/>
      <c r="G32" s="3"/>
      <c r="H32" s="3"/>
      <c r="I32" s="3"/>
      <c r="J32" s="3"/>
      <c r="K32" s="3"/>
      <c r="L32" s="3"/>
      <c r="M32" s="3"/>
    </row>
    <row r="33" spans="1:13" ht="8.25" customHeight="1" x14ac:dyDescent="0.25">
      <c r="E33" s="3"/>
      <c r="G33" s="3"/>
      <c r="H33" s="3"/>
      <c r="I33" s="3"/>
      <c r="J33" s="3"/>
      <c r="K33" s="3"/>
      <c r="L33" s="3"/>
      <c r="M33" s="3"/>
    </row>
    <row r="34" spans="1:13" x14ac:dyDescent="0.25">
      <c r="C34" t="s">
        <v>55</v>
      </c>
      <c r="E34" s="3">
        <v>0</v>
      </c>
      <c r="G34" s="3">
        <v>0</v>
      </c>
      <c r="H34" s="3" t="s">
        <v>6</v>
      </c>
      <c r="I34" s="3">
        <v>0</v>
      </c>
      <c r="J34" s="3"/>
      <c r="K34" s="3">
        <v>0</v>
      </c>
      <c r="L34" s="3"/>
      <c r="M34" s="3">
        <v>0</v>
      </c>
    </row>
    <row r="35" spans="1:13" x14ac:dyDescent="0.25">
      <c r="C35" t="s">
        <v>51</v>
      </c>
      <c r="E35" s="7">
        <v>0</v>
      </c>
      <c r="G35" s="16">
        <v>0</v>
      </c>
      <c r="H35" s="3"/>
      <c r="I35" s="16">
        <v>0</v>
      </c>
      <c r="J35" s="3"/>
      <c r="K35" s="16">
        <v>0</v>
      </c>
      <c r="L35" s="3"/>
      <c r="M35" s="16">
        <v>0</v>
      </c>
    </row>
    <row r="36" spans="1:13" ht="8.25" customHeight="1" x14ac:dyDescent="0.25">
      <c r="E36" s="3"/>
      <c r="G36" s="3"/>
      <c r="H36" s="3"/>
      <c r="I36" s="3"/>
      <c r="J36" s="3"/>
      <c r="K36" s="3"/>
      <c r="L36" s="3"/>
      <c r="M36" s="3"/>
    </row>
    <row r="37" spans="1:13" x14ac:dyDescent="0.25">
      <c r="A37" t="s">
        <v>56</v>
      </c>
      <c r="E37" s="3">
        <f>SUM(E34:E35)</f>
        <v>0</v>
      </c>
      <c r="G37" s="3">
        <f>SUM(G34:G35)</f>
        <v>0</v>
      </c>
      <c r="H37" s="3"/>
      <c r="I37" s="3">
        <f>SUM(I34:I35)</f>
        <v>0</v>
      </c>
      <c r="J37" s="3"/>
      <c r="K37" s="3">
        <f>SUM(K34:K35)</f>
        <v>0</v>
      </c>
      <c r="L37" s="3"/>
      <c r="M37" s="3">
        <f>SUM(M34:M35)</f>
        <v>0</v>
      </c>
    </row>
    <row r="38" spans="1:13" x14ac:dyDescent="0.25">
      <c r="E38" s="3"/>
      <c r="G38" s="3"/>
      <c r="H38" s="3"/>
      <c r="I38" s="3"/>
      <c r="J38" s="3"/>
      <c r="K38" s="3"/>
      <c r="L38" s="3"/>
      <c r="M38" s="3"/>
    </row>
    <row r="39" spans="1:13" x14ac:dyDescent="0.25">
      <c r="A39" t="s">
        <v>57</v>
      </c>
      <c r="E39" s="3"/>
      <c r="G39" s="3"/>
      <c r="H39" s="3"/>
      <c r="I39" s="3"/>
      <c r="J39" s="3"/>
      <c r="K39" s="3"/>
      <c r="L39" s="3"/>
      <c r="M39" s="3"/>
    </row>
    <row r="40" spans="1:13" ht="8.25" customHeight="1" x14ac:dyDescent="0.25">
      <c r="E40" s="3"/>
      <c r="G40" s="3"/>
      <c r="H40" s="3"/>
      <c r="I40" s="3"/>
      <c r="J40" s="3"/>
      <c r="K40" s="3"/>
      <c r="L40" s="3"/>
      <c r="M40" s="3"/>
    </row>
    <row r="41" spans="1:13" x14ac:dyDescent="0.25">
      <c r="C41" t="s">
        <v>58</v>
      </c>
      <c r="E41" s="3">
        <v>2750000</v>
      </c>
      <c r="G41" s="3">
        <v>2750000</v>
      </c>
      <c r="H41" s="3"/>
      <c r="I41" s="3">
        <v>2750000</v>
      </c>
      <c r="J41" s="3"/>
      <c r="K41" s="3">
        <v>2607646.14</v>
      </c>
      <c r="L41" s="3"/>
      <c r="M41" s="3">
        <v>2453476.9900000002</v>
      </c>
    </row>
    <row r="42" spans="1:13" x14ac:dyDescent="0.25">
      <c r="C42" t="s">
        <v>98</v>
      </c>
      <c r="E42" s="3">
        <v>3000000</v>
      </c>
      <c r="G42" s="3">
        <v>2666856.87</v>
      </c>
      <c r="H42" s="3"/>
      <c r="I42" s="3">
        <v>2306063.0299999998</v>
      </c>
      <c r="J42" s="3"/>
      <c r="K42" s="3">
        <v>1915323.47</v>
      </c>
      <c r="L42" s="3"/>
      <c r="M42" s="3">
        <v>1492152.73</v>
      </c>
    </row>
    <row r="43" spans="1:13" x14ac:dyDescent="0.25">
      <c r="C43" t="s">
        <v>99</v>
      </c>
      <c r="E43" s="7">
        <v>1250000</v>
      </c>
      <c r="G43" s="16">
        <v>1140739.1000000001</v>
      </c>
      <c r="H43" s="3"/>
      <c r="I43" s="16">
        <v>1013914.01</v>
      </c>
      <c r="J43" s="3"/>
      <c r="K43" s="16">
        <v>866701.22</v>
      </c>
      <c r="L43" s="3"/>
      <c r="M43" s="16">
        <v>695823.3</v>
      </c>
    </row>
    <row r="44" spans="1:13" ht="6.75" customHeight="1" x14ac:dyDescent="0.25">
      <c r="E44" s="3"/>
      <c r="G44" s="3"/>
      <c r="H44" s="3"/>
      <c r="I44" s="3"/>
      <c r="J44" s="3"/>
      <c r="K44" s="3"/>
      <c r="L44" s="3"/>
      <c r="M44" s="3"/>
    </row>
    <row r="45" spans="1:13" x14ac:dyDescent="0.25">
      <c r="A45" t="s">
        <v>65</v>
      </c>
      <c r="E45" s="3">
        <f>SUM(E41:E43)</f>
        <v>7000000</v>
      </c>
      <c r="G45" s="3">
        <f>SUM(G41:G43)</f>
        <v>6557595.9700000007</v>
      </c>
      <c r="H45" s="3"/>
      <c r="I45" s="3">
        <f>SUM(I41:I43)</f>
        <v>6069977.0399999991</v>
      </c>
      <c r="J45" s="3"/>
      <c r="K45" s="3">
        <f>SUM(K41:K43)</f>
        <v>5389670.8300000001</v>
      </c>
      <c r="L45" s="3"/>
      <c r="M45" s="3">
        <f>SUM(M41:M43)</f>
        <v>4641453.0200000005</v>
      </c>
    </row>
    <row r="46" spans="1:13" x14ac:dyDescent="0.25">
      <c r="E46" s="3"/>
      <c r="G46" s="3"/>
      <c r="H46" s="3"/>
      <c r="I46" s="3"/>
      <c r="J46" s="3"/>
      <c r="K46" s="3"/>
      <c r="L46" s="3"/>
      <c r="M46" s="3"/>
    </row>
    <row r="47" spans="1:13" x14ac:dyDescent="0.25">
      <c r="A47" t="s">
        <v>60</v>
      </c>
      <c r="E47" s="3">
        <f>SUM(E37,E45)</f>
        <v>7000000</v>
      </c>
      <c r="G47" s="3">
        <f>SUM(G37,G45)</f>
        <v>6557595.9700000007</v>
      </c>
      <c r="H47" s="3"/>
      <c r="I47" s="3">
        <f>SUM(I37,I45)</f>
        <v>6069977.0399999991</v>
      </c>
      <c r="J47" s="3"/>
      <c r="K47" s="3">
        <f>SUM(K37,K45)</f>
        <v>5389670.8300000001</v>
      </c>
      <c r="L47" s="3"/>
      <c r="M47" s="3">
        <f>SUM(M37,M45)</f>
        <v>4641453.0200000005</v>
      </c>
    </row>
    <row r="48" spans="1:13" x14ac:dyDescent="0.25">
      <c r="E48" s="3"/>
      <c r="G48" s="3"/>
      <c r="H48" s="3"/>
      <c r="I48" s="3"/>
      <c r="J48" s="3"/>
      <c r="K48" s="3"/>
      <c r="L48" s="3"/>
      <c r="M48" s="3"/>
    </row>
    <row r="49" spans="1:13" x14ac:dyDescent="0.25">
      <c r="A49" t="s">
        <v>59</v>
      </c>
      <c r="E49" s="3"/>
      <c r="G49" s="3"/>
      <c r="H49" s="3"/>
      <c r="I49" s="3"/>
      <c r="J49" s="3"/>
      <c r="K49" s="3"/>
      <c r="L49" s="3"/>
      <c r="M49" s="3"/>
    </row>
    <row r="50" spans="1:13" ht="7.5" customHeight="1" x14ac:dyDescent="0.25">
      <c r="A50" t="s">
        <v>6</v>
      </c>
      <c r="E50" s="3"/>
      <c r="G50" s="3"/>
      <c r="H50" s="3"/>
      <c r="I50" s="3"/>
      <c r="J50" s="3"/>
      <c r="K50" s="3"/>
      <c r="L50" s="3"/>
      <c r="M50" s="3"/>
    </row>
    <row r="51" spans="1:13" x14ac:dyDescent="0.25">
      <c r="C51" t="s">
        <v>61</v>
      </c>
      <c r="E51" s="3">
        <v>3000000</v>
      </c>
      <c r="G51" s="3">
        <v>3000000</v>
      </c>
      <c r="H51" s="3"/>
      <c r="I51" s="3">
        <v>3000000</v>
      </c>
      <c r="J51" s="3"/>
      <c r="K51" s="3">
        <v>3000000</v>
      </c>
      <c r="L51" s="3"/>
      <c r="M51" s="3">
        <v>3000000</v>
      </c>
    </row>
    <row r="52" spans="1:13" x14ac:dyDescent="0.25">
      <c r="C52" t="s">
        <v>62</v>
      </c>
      <c r="E52" s="3">
        <v>0</v>
      </c>
      <c r="G52" s="3">
        <v>0</v>
      </c>
      <c r="H52" s="3"/>
      <c r="I52" s="3">
        <v>0</v>
      </c>
      <c r="J52" s="3"/>
      <c r="K52" s="3">
        <v>0</v>
      </c>
      <c r="L52" s="3"/>
      <c r="M52" s="3">
        <v>0</v>
      </c>
    </row>
    <row r="53" spans="1:13" x14ac:dyDescent="0.25">
      <c r="C53" t="s">
        <v>66</v>
      </c>
      <c r="E53" s="3">
        <v>0</v>
      </c>
      <c r="G53" s="3">
        <f>'Proforma IS Years 1 - 5'!C48</f>
        <v>1174011.9704687996</v>
      </c>
      <c r="H53" s="3"/>
      <c r="I53" s="3">
        <f>'Proforma IS Years 1 - 5'!F48</f>
        <v>1730584.7128030956</v>
      </c>
      <c r="J53" s="3"/>
      <c r="K53" s="3">
        <f>'Proforma IS Years 1 - 5'!I48</f>
        <v>2390047.1566785662</v>
      </c>
      <c r="L53" s="3"/>
      <c r="M53" s="3">
        <f>'Proforma IS Years 1 - 5'!L48</f>
        <v>3442194.7617732892</v>
      </c>
    </row>
    <row r="54" spans="1:13" ht="17.25" x14ac:dyDescent="0.4">
      <c r="C54" t="s">
        <v>51</v>
      </c>
      <c r="E54" s="13">
        <v>0</v>
      </c>
      <c r="G54" s="16">
        <v>0</v>
      </c>
      <c r="H54" s="3"/>
      <c r="I54" s="16">
        <v>0</v>
      </c>
      <c r="J54" s="3"/>
      <c r="K54" s="16">
        <v>0</v>
      </c>
      <c r="L54" s="3"/>
      <c r="M54" s="16">
        <v>0</v>
      </c>
    </row>
    <row r="55" spans="1:13" ht="8.25" customHeight="1" x14ac:dyDescent="0.25">
      <c r="G55" s="3"/>
      <c r="H55" s="3"/>
      <c r="I55" s="3"/>
      <c r="J55" s="3"/>
      <c r="K55" s="3"/>
      <c r="L55" s="3"/>
      <c r="M55" s="3"/>
    </row>
    <row r="56" spans="1:13" x14ac:dyDescent="0.25">
      <c r="A56" t="s">
        <v>63</v>
      </c>
      <c r="E56" s="5">
        <f>SUM(E51:E54)</f>
        <v>3000000</v>
      </c>
      <c r="G56" s="3">
        <f>SUM(G51:G54)</f>
        <v>4174011.9704687996</v>
      </c>
      <c r="H56" s="3"/>
      <c r="I56" s="3">
        <f>SUM(I51:I54)</f>
        <v>4730584.7128030956</v>
      </c>
      <c r="J56" s="3"/>
      <c r="K56" s="3">
        <f>SUM(K51:K54)</f>
        <v>5390047.1566785667</v>
      </c>
      <c r="L56" s="3"/>
      <c r="M56" s="3">
        <f>SUM(M51:M54)</f>
        <v>6442194.7617732892</v>
      </c>
    </row>
    <row r="57" spans="1:13" x14ac:dyDescent="0.25">
      <c r="G57" s="3"/>
      <c r="H57" s="3"/>
      <c r="I57" s="3"/>
      <c r="J57" s="3"/>
      <c r="K57" s="3"/>
      <c r="L57" s="3"/>
      <c r="M57" s="3"/>
    </row>
    <row r="58" spans="1:13" ht="7.5" customHeight="1" x14ac:dyDescent="0.25">
      <c r="G58" s="3"/>
      <c r="H58" s="3"/>
      <c r="I58" s="3"/>
      <c r="J58" s="3"/>
      <c r="K58" s="3"/>
      <c r="L58" s="3"/>
      <c r="M58" s="3"/>
    </row>
    <row r="59" spans="1:13" x14ac:dyDescent="0.25">
      <c r="A59" s="8" t="s">
        <v>64</v>
      </c>
      <c r="E59" s="5">
        <f>SUM(E56,E47)</f>
        <v>10000000</v>
      </c>
      <c r="G59" s="3">
        <f>SUM(G56,G47)</f>
        <v>10731607.940468799</v>
      </c>
      <c r="H59" s="3"/>
      <c r="I59" s="3">
        <f>SUM(I56,I47)</f>
        <v>10800561.752803095</v>
      </c>
      <c r="J59" s="3"/>
      <c r="K59" s="3">
        <f>SUM(K56,K47)</f>
        <v>10779717.986678567</v>
      </c>
      <c r="L59" s="3"/>
      <c r="M59" s="3">
        <f>SUM(M56,M47)</f>
        <v>11083647.78177329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selection activeCell="I9" sqref="I9"/>
    </sheetView>
  </sheetViews>
  <sheetFormatPr defaultRowHeight="15" x14ac:dyDescent="0.25"/>
  <cols>
    <col min="1" max="1" width="29.5703125" customWidth="1"/>
    <col min="2" max="2" width="2" customWidth="1"/>
    <col min="3" max="3" width="33.42578125" customWidth="1"/>
    <col min="4" max="4" width="3.42578125" customWidth="1"/>
    <col min="5" max="5" width="13.28515625" customWidth="1"/>
    <col min="6" max="6" width="3.5703125" customWidth="1"/>
    <col min="7" max="7" width="13.5703125" customWidth="1"/>
    <col min="8" max="8" width="3.5703125" customWidth="1"/>
    <col min="9" max="9" width="14.28515625" bestFit="1" customWidth="1"/>
    <col min="10" max="10" width="3.5703125" customWidth="1"/>
    <col min="11" max="11" width="14.28515625" bestFit="1" customWidth="1"/>
    <col min="12" max="12" width="3.5703125" customWidth="1"/>
    <col min="13" max="13" width="14.28515625" bestFit="1" customWidth="1"/>
  </cols>
  <sheetData>
    <row r="1" spans="1:13" x14ac:dyDescent="0.25">
      <c r="E1" s="15">
        <v>43466</v>
      </c>
      <c r="F1" s="14"/>
      <c r="G1" s="15">
        <v>43831</v>
      </c>
      <c r="H1" s="14"/>
      <c r="I1" s="15">
        <v>44197</v>
      </c>
      <c r="J1" s="14"/>
      <c r="K1" s="15">
        <v>44562</v>
      </c>
      <c r="L1" s="14"/>
      <c r="M1" s="15">
        <v>44927</v>
      </c>
    </row>
    <row r="2" spans="1:13" ht="6.75" customHeight="1" x14ac:dyDescent="0.25"/>
    <row r="3" spans="1:13" x14ac:dyDescent="0.25">
      <c r="A3" s="8" t="s">
        <v>37</v>
      </c>
      <c r="B3" s="8"/>
      <c r="C3" s="8"/>
    </row>
    <row r="4" spans="1:13" ht="8.25" customHeight="1" x14ac:dyDescent="0.25"/>
    <row r="5" spans="1:13" x14ac:dyDescent="0.25">
      <c r="A5" t="s">
        <v>38</v>
      </c>
    </row>
    <row r="6" spans="1:13" ht="8.25" customHeight="1" x14ac:dyDescent="0.25"/>
    <row r="7" spans="1:13" x14ac:dyDescent="0.25">
      <c r="A7" t="s">
        <v>39</v>
      </c>
      <c r="C7" t="s">
        <v>40</v>
      </c>
      <c r="E7" s="3">
        <v>0</v>
      </c>
      <c r="G7" s="3">
        <v>0</v>
      </c>
      <c r="H7" s="3"/>
      <c r="I7" s="3">
        <v>0</v>
      </c>
      <c r="J7" s="3"/>
      <c r="K7" s="3">
        <v>0</v>
      </c>
      <c r="L7" s="3"/>
      <c r="M7" s="3">
        <v>0</v>
      </c>
    </row>
    <row r="8" spans="1:13" x14ac:dyDescent="0.25">
      <c r="C8" t="s">
        <v>41</v>
      </c>
      <c r="E8" s="3">
        <v>1250000</v>
      </c>
      <c r="G8" s="3">
        <f>'Statement of Cash Flows'!E36</f>
        <v>853446.82046879944</v>
      </c>
      <c r="H8" s="3"/>
      <c r="I8" s="3">
        <v>200000</v>
      </c>
      <c r="J8" s="3"/>
      <c r="K8" s="3">
        <v>200000</v>
      </c>
      <c r="L8" s="3"/>
      <c r="M8" s="3">
        <v>200000</v>
      </c>
    </row>
    <row r="9" spans="1:13" x14ac:dyDescent="0.25">
      <c r="C9" t="s">
        <v>100</v>
      </c>
      <c r="E9" s="7">
        <v>3300000</v>
      </c>
      <c r="G9" s="16">
        <f>E9-'Statement of Cash Flows'!C26</f>
        <v>4300000</v>
      </c>
      <c r="H9" s="3"/>
      <c r="I9" s="16">
        <v>3200000</v>
      </c>
      <c r="J9" s="3"/>
      <c r="K9" s="16">
        <v>3200000</v>
      </c>
      <c r="L9" s="3"/>
      <c r="M9" s="16">
        <v>3200000</v>
      </c>
    </row>
    <row r="10" spans="1:13" ht="7.5" customHeight="1" x14ac:dyDescent="0.25">
      <c r="E10" s="3"/>
      <c r="G10" s="3"/>
      <c r="H10" s="3"/>
      <c r="I10" s="3"/>
      <c r="J10" s="3"/>
      <c r="K10" s="3"/>
      <c r="L10" s="3"/>
      <c r="M10" s="3"/>
    </row>
    <row r="11" spans="1:13" x14ac:dyDescent="0.25">
      <c r="A11" t="s">
        <v>42</v>
      </c>
      <c r="E11" s="3">
        <f>SUM(E7:E9)</f>
        <v>4550000</v>
      </c>
      <c r="G11" s="3">
        <f>SUM(G7:G9)</f>
        <v>5153446.8204687992</v>
      </c>
      <c r="H11" s="3"/>
      <c r="I11" s="3">
        <f>SUM(I7:I9)</f>
        <v>3400000</v>
      </c>
      <c r="J11" s="3"/>
      <c r="K11" s="3">
        <f>SUM(K7:K9)</f>
        <v>3400000</v>
      </c>
      <c r="L11" s="3"/>
      <c r="M11" s="3">
        <f>SUM(M7:M9)</f>
        <v>3400000</v>
      </c>
    </row>
    <row r="12" spans="1:13" x14ac:dyDescent="0.25">
      <c r="E12" s="3"/>
      <c r="G12" s="3"/>
      <c r="H12" s="3"/>
      <c r="I12" s="3"/>
      <c r="J12" s="3"/>
      <c r="K12" s="3"/>
      <c r="L12" s="3"/>
      <c r="M12" s="3"/>
    </row>
    <row r="13" spans="1:13" x14ac:dyDescent="0.25">
      <c r="A13" t="s">
        <v>43</v>
      </c>
      <c r="E13" s="3"/>
      <c r="G13" s="3"/>
      <c r="H13" s="3"/>
      <c r="I13" s="3"/>
      <c r="J13" s="3"/>
      <c r="K13" s="3"/>
      <c r="L13" s="3"/>
      <c r="M13" s="3"/>
    </row>
    <row r="14" spans="1:13" ht="7.5" customHeight="1" x14ac:dyDescent="0.25">
      <c r="E14" s="3"/>
      <c r="G14" s="3"/>
      <c r="H14" s="3"/>
      <c r="I14" s="3"/>
      <c r="J14" s="3"/>
      <c r="K14" s="3"/>
      <c r="L14" s="3"/>
      <c r="M14" s="3"/>
    </row>
    <row r="15" spans="1:13" x14ac:dyDescent="0.25">
      <c r="C15" t="s">
        <v>44</v>
      </c>
      <c r="E15" s="3">
        <v>3606.64</v>
      </c>
      <c r="G15" s="3">
        <v>3606.64</v>
      </c>
      <c r="H15" s="3"/>
      <c r="I15" s="3">
        <v>3606.64</v>
      </c>
      <c r="J15" s="3"/>
      <c r="K15" s="3">
        <v>3606.64</v>
      </c>
      <c r="L15" s="3"/>
      <c r="M15" s="3">
        <v>3606.64</v>
      </c>
    </row>
    <row r="16" spans="1:13" x14ac:dyDescent="0.25">
      <c r="C16" t="s">
        <v>45</v>
      </c>
      <c r="E16" s="3">
        <v>59400</v>
      </c>
      <c r="G16" s="3">
        <v>59400</v>
      </c>
      <c r="H16" s="3"/>
      <c r="I16" s="3">
        <v>59400</v>
      </c>
      <c r="J16" s="3"/>
      <c r="K16" s="3">
        <v>59400</v>
      </c>
      <c r="L16" s="3"/>
      <c r="M16" s="3">
        <v>59400</v>
      </c>
    </row>
    <row r="17" spans="1:13" x14ac:dyDescent="0.25">
      <c r="C17" t="s">
        <v>46</v>
      </c>
      <c r="E17" s="7">
        <v>89865.5</v>
      </c>
      <c r="G17" s="16">
        <v>89865.5</v>
      </c>
      <c r="H17" s="3"/>
      <c r="I17" s="16">
        <v>89865.5</v>
      </c>
      <c r="J17" s="3"/>
      <c r="K17" s="16">
        <v>89865.5</v>
      </c>
      <c r="L17" s="3"/>
      <c r="M17" s="16">
        <v>89865.5</v>
      </c>
    </row>
    <row r="18" spans="1:13" ht="7.5" customHeight="1" x14ac:dyDescent="0.25">
      <c r="E18" s="3"/>
      <c r="G18" s="3"/>
      <c r="H18" s="3"/>
      <c r="I18" s="3"/>
      <c r="J18" s="3"/>
      <c r="K18" s="3"/>
      <c r="L18" s="3"/>
      <c r="M18" s="3"/>
    </row>
    <row r="19" spans="1:13" x14ac:dyDescent="0.25">
      <c r="A19" t="s">
        <v>47</v>
      </c>
      <c r="E19" s="3">
        <f>SUM(E15:E17)</f>
        <v>152872.14000000001</v>
      </c>
      <c r="G19" s="3">
        <f>SUM(G15:G17)</f>
        <v>152872.14000000001</v>
      </c>
      <c r="H19" s="3"/>
      <c r="I19" s="3">
        <f>SUM(I15:I17)</f>
        <v>152872.14000000001</v>
      </c>
      <c r="J19" s="3"/>
      <c r="K19" s="3">
        <f>SUM(K15:K17)</f>
        <v>152872.14000000001</v>
      </c>
      <c r="L19" s="3"/>
      <c r="M19" s="3">
        <f>SUM(M15:M17)</f>
        <v>152872.14000000001</v>
      </c>
    </row>
    <row r="20" spans="1:13" x14ac:dyDescent="0.25">
      <c r="E20" s="3"/>
      <c r="G20" s="3"/>
      <c r="H20" s="3"/>
      <c r="I20" s="3"/>
      <c r="J20" s="3"/>
      <c r="K20" s="3"/>
      <c r="L20" s="3"/>
      <c r="M20" s="3"/>
    </row>
    <row r="21" spans="1:13" x14ac:dyDescent="0.25">
      <c r="A21" t="s">
        <v>49</v>
      </c>
      <c r="E21" s="3"/>
      <c r="G21" s="3"/>
      <c r="H21" s="3"/>
      <c r="I21" s="3"/>
      <c r="J21" s="3"/>
      <c r="K21" s="3"/>
      <c r="L21" s="3"/>
      <c r="M21" s="3"/>
    </row>
    <row r="22" spans="1:13" ht="7.5" customHeight="1" x14ac:dyDescent="0.25">
      <c r="E22" s="3"/>
      <c r="G22" s="3"/>
      <c r="H22" s="3"/>
      <c r="I22" s="3"/>
      <c r="J22" s="3"/>
      <c r="K22" s="3"/>
      <c r="L22" s="3"/>
      <c r="M22" s="3"/>
    </row>
    <row r="23" spans="1:13" x14ac:dyDescent="0.25">
      <c r="C23" t="s">
        <v>50</v>
      </c>
      <c r="E23" s="3">
        <v>5297128</v>
      </c>
      <c r="G23" s="3">
        <v>5297128</v>
      </c>
      <c r="H23" s="3"/>
      <c r="I23" s="3">
        <v>5297128</v>
      </c>
      <c r="J23" s="3"/>
      <c r="K23" s="3">
        <v>5297128</v>
      </c>
      <c r="L23" s="3"/>
      <c r="M23" s="3">
        <v>5297128</v>
      </c>
    </row>
    <row r="24" spans="1:13" x14ac:dyDescent="0.25">
      <c r="C24" t="s">
        <v>51</v>
      </c>
      <c r="E24" s="7">
        <v>0</v>
      </c>
      <c r="G24" s="16">
        <v>0</v>
      </c>
      <c r="H24" s="3"/>
      <c r="I24" s="16">
        <v>0</v>
      </c>
      <c r="J24" s="3"/>
      <c r="K24" s="16">
        <v>0</v>
      </c>
      <c r="L24" s="3"/>
      <c r="M24" s="16">
        <v>0</v>
      </c>
    </row>
    <row r="25" spans="1:13" ht="8.25" customHeight="1" x14ac:dyDescent="0.25">
      <c r="E25" s="3"/>
      <c r="G25" s="3"/>
      <c r="H25" s="3"/>
      <c r="I25" s="3"/>
      <c r="J25" s="3"/>
      <c r="K25" s="3"/>
      <c r="L25" s="3"/>
      <c r="M25" s="3"/>
    </row>
    <row r="26" spans="1:13" x14ac:dyDescent="0.25">
      <c r="A26" t="s">
        <v>52</v>
      </c>
      <c r="E26" s="3">
        <f>SUM(E23:E24)</f>
        <v>5297128</v>
      </c>
      <c r="G26" s="3">
        <f>SUM(G23:G24)</f>
        <v>5297128</v>
      </c>
      <c r="H26" s="3"/>
      <c r="I26" s="3">
        <f>SUM(I23:I24)</f>
        <v>5297128</v>
      </c>
      <c r="J26" s="3"/>
      <c r="K26" s="3">
        <f>SUM(K23:K24)</f>
        <v>5297128</v>
      </c>
      <c r="L26" s="3"/>
      <c r="M26" s="3">
        <f>SUM(M23:M24)</f>
        <v>5297128</v>
      </c>
    </row>
    <row r="27" spans="1:13" x14ac:dyDescent="0.25">
      <c r="E27" s="3"/>
      <c r="G27" s="3"/>
      <c r="H27" s="3"/>
      <c r="I27" s="3"/>
      <c r="J27" s="3"/>
      <c r="K27" s="3"/>
      <c r="L27" s="3"/>
      <c r="M27" s="3"/>
    </row>
    <row r="28" spans="1:13" x14ac:dyDescent="0.25">
      <c r="A28" s="8" t="s">
        <v>48</v>
      </c>
      <c r="E28" s="3">
        <f>SUM(E11,E19,E26)</f>
        <v>10000000.140000001</v>
      </c>
      <c r="G28" s="3">
        <f>SUM(G11,G19,G26)</f>
        <v>10603446.960468799</v>
      </c>
      <c r="H28" s="3"/>
      <c r="I28" s="3">
        <f>SUM(I11,I19,I26)</f>
        <v>8850000.1400000006</v>
      </c>
      <c r="J28" s="3"/>
      <c r="K28" s="3">
        <f>SUM(K11,K19,K26)</f>
        <v>8850000.1400000006</v>
      </c>
      <c r="L28" s="3"/>
      <c r="M28" s="3">
        <f>SUM(M11,M19,M26)</f>
        <v>8850000.1400000006</v>
      </c>
    </row>
    <row r="29" spans="1:13" x14ac:dyDescent="0.25">
      <c r="E29" s="3"/>
      <c r="G29" s="3"/>
      <c r="H29" s="3"/>
      <c r="I29" s="3"/>
      <c r="J29" s="3"/>
      <c r="K29" s="3"/>
      <c r="L29" s="3"/>
      <c r="M29" s="3"/>
    </row>
    <row r="30" spans="1:13" x14ac:dyDescent="0.25">
      <c r="A30" s="8" t="s">
        <v>53</v>
      </c>
      <c r="E30" s="3"/>
      <c r="G30" s="3"/>
      <c r="H30" s="3"/>
      <c r="I30" s="3"/>
      <c r="J30" s="3"/>
      <c r="K30" s="3"/>
      <c r="L30" s="3"/>
      <c r="M30" s="3"/>
    </row>
    <row r="31" spans="1:13" ht="7.5" customHeight="1" x14ac:dyDescent="0.25">
      <c r="E31" s="3"/>
      <c r="G31" s="3"/>
      <c r="H31" s="3"/>
      <c r="I31" s="3"/>
      <c r="J31" s="3"/>
      <c r="K31" s="3"/>
      <c r="L31" s="3"/>
      <c r="M31" s="3"/>
    </row>
    <row r="32" spans="1:13" x14ac:dyDescent="0.25">
      <c r="A32" t="s">
        <v>54</v>
      </c>
      <c r="E32" s="3"/>
      <c r="G32" s="3"/>
      <c r="H32" s="3"/>
      <c r="I32" s="3"/>
      <c r="J32" s="3"/>
      <c r="K32" s="3"/>
      <c r="L32" s="3"/>
      <c r="M32" s="3"/>
    </row>
    <row r="33" spans="1:18" ht="8.25" customHeight="1" x14ac:dyDescent="0.25">
      <c r="E33" s="3"/>
      <c r="G33" s="3"/>
      <c r="H33" s="3"/>
      <c r="I33" s="3"/>
      <c r="J33" s="3"/>
      <c r="K33" s="3"/>
      <c r="L33" s="3"/>
      <c r="M33" s="3"/>
    </row>
    <row r="34" spans="1:18" x14ac:dyDescent="0.25">
      <c r="C34" t="s">
        <v>55</v>
      </c>
      <c r="E34" s="3">
        <v>0</v>
      </c>
      <c r="G34" s="3">
        <v>0</v>
      </c>
      <c r="H34" s="3" t="s">
        <v>6</v>
      </c>
      <c r="I34" s="3">
        <v>0</v>
      </c>
      <c r="J34" s="3"/>
      <c r="K34" s="3">
        <v>0</v>
      </c>
      <c r="L34" s="3"/>
      <c r="M34" s="3">
        <v>0</v>
      </c>
    </row>
    <row r="35" spans="1:18" x14ac:dyDescent="0.25">
      <c r="C35" t="s">
        <v>51</v>
      </c>
      <c r="E35" s="7">
        <v>0</v>
      </c>
      <c r="G35" s="16">
        <v>0</v>
      </c>
      <c r="H35" s="3"/>
      <c r="I35" s="16">
        <v>0</v>
      </c>
      <c r="J35" s="3"/>
      <c r="K35" s="16">
        <v>0</v>
      </c>
      <c r="L35" s="3"/>
      <c r="M35" s="16">
        <v>0</v>
      </c>
    </row>
    <row r="36" spans="1:18" ht="8.25" customHeight="1" x14ac:dyDescent="0.25">
      <c r="E36" s="3"/>
      <c r="G36" s="3"/>
      <c r="H36" s="3"/>
      <c r="I36" s="3"/>
      <c r="J36" s="3"/>
      <c r="K36" s="3"/>
      <c r="L36" s="3"/>
      <c r="M36" s="3"/>
    </row>
    <row r="37" spans="1:18" x14ac:dyDescent="0.25">
      <c r="A37" t="s">
        <v>56</v>
      </c>
      <c r="E37" s="3">
        <f>SUM(E34:E35)</f>
        <v>0</v>
      </c>
      <c r="G37" s="3">
        <f>SUM(G34:G35)</f>
        <v>0</v>
      </c>
      <c r="H37" s="3"/>
      <c r="I37" s="3">
        <f>SUM(I34:I35)</f>
        <v>0</v>
      </c>
      <c r="J37" s="3"/>
      <c r="K37" s="3">
        <f>SUM(K34:K35)</f>
        <v>0</v>
      </c>
      <c r="L37" s="3"/>
      <c r="M37" s="3">
        <f>SUM(M34:M35)</f>
        <v>0</v>
      </c>
    </row>
    <row r="38" spans="1:18" x14ac:dyDescent="0.25">
      <c r="E38" s="3"/>
      <c r="G38" s="3"/>
      <c r="H38" s="3"/>
      <c r="I38" s="3"/>
      <c r="J38" s="3"/>
      <c r="K38" s="3"/>
      <c r="L38" s="3"/>
      <c r="M38" s="3"/>
    </row>
    <row r="39" spans="1:18" x14ac:dyDescent="0.25">
      <c r="A39" t="s">
        <v>57</v>
      </c>
      <c r="E39" s="3"/>
      <c r="G39" s="3"/>
      <c r="H39" s="3"/>
      <c r="I39" s="3"/>
      <c r="J39" s="3"/>
      <c r="K39" s="3"/>
      <c r="L39" s="3"/>
      <c r="M39" s="3"/>
    </row>
    <row r="40" spans="1:18" ht="8.25" customHeight="1" x14ac:dyDescent="0.25">
      <c r="E40" s="3"/>
      <c r="G40" s="3"/>
      <c r="H40" s="3"/>
      <c r="I40" s="3"/>
      <c r="J40" s="3"/>
      <c r="K40" s="3"/>
      <c r="L40" s="3"/>
      <c r="M40" s="3"/>
    </row>
    <row r="41" spans="1:18" x14ac:dyDescent="0.25">
      <c r="C41" t="s">
        <v>58</v>
      </c>
      <c r="E41" s="3">
        <v>2286511.86</v>
      </c>
      <c r="G41" s="3">
        <v>2105688.7200000002</v>
      </c>
      <c r="H41" s="3"/>
      <c r="I41" s="3">
        <v>1909857.34</v>
      </c>
      <c r="J41" s="3"/>
      <c r="K41" s="3">
        <v>1697772.06</v>
      </c>
      <c r="L41" s="3"/>
      <c r="M41" s="3">
        <v>1468083.8</v>
      </c>
    </row>
    <row r="42" spans="1:18" x14ac:dyDescent="0.25">
      <c r="C42" t="s">
        <v>98</v>
      </c>
      <c r="E42" s="3">
        <v>1033859.02</v>
      </c>
      <c r="G42" s="3">
        <v>537527.16</v>
      </c>
      <c r="H42" s="3"/>
      <c r="I42" s="3">
        <v>0</v>
      </c>
      <c r="J42" s="3"/>
      <c r="K42" s="3">
        <v>0</v>
      </c>
      <c r="L42" s="3"/>
      <c r="M42" s="3">
        <v>0</v>
      </c>
    </row>
    <row r="43" spans="1:18" x14ac:dyDescent="0.25">
      <c r="C43" t="s">
        <v>99</v>
      </c>
      <c r="E43" s="16">
        <v>497475.99</v>
      </c>
      <c r="G43" s="16">
        <v>267243.46000000002</v>
      </c>
      <c r="H43" s="3"/>
      <c r="I43" s="16">
        <v>0</v>
      </c>
      <c r="J43" s="3"/>
      <c r="K43" s="16">
        <v>0</v>
      </c>
      <c r="L43" s="3"/>
      <c r="M43" s="16">
        <v>0</v>
      </c>
    </row>
    <row r="44" spans="1:18" ht="6.75" customHeight="1" x14ac:dyDescent="0.25">
      <c r="E44" s="3"/>
      <c r="G44" s="3"/>
      <c r="H44" s="3"/>
      <c r="I44" s="3"/>
      <c r="J44" s="3"/>
      <c r="K44" s="3"/>
      <c r="L44" s="3"/>
      <c r="M44" s="3"/>
    </row>
    <row r="45" spans="1:18" x14ac:dyDescent="0.25">
      <c r="A45" t="s">
        <v>65</v>
      </c>
      <c r="E45" s="3">
        <f>SUM(E41:E43)</f>
        <v>3817846.87</v>
      </c>
      <c r="G45" s="3">
        <f>SUM(G41:G43)</f>
        <v>2910459.3400000003</v>
      </c>
      <c r="H45" s="3"/>
      <c r="I45" s="3">
        <f>SUM(I41:I43)</f>
        <v>1909857.34</v>
      </c>
      <c r="J45" s="3"/>
      <c r="K45" s="3">
        <f>SUM(K41:K43)</f>
        <v>1697772.06</v>
      </c>
      <c r="L45" s="3"/>
      <c r="M45" s="3">
        <f>SUM(M41:M43)</f>
        <v>1468083.8</v>
      </c>
      <c r="R45" t="s">
        <v>6</v>
      </c>
    </row>
    <row r="46" spans="1:18" x14ac:dyDescent="0.25">
      <c r="E46" s="3"/>
      <c r="G46" s="3"/>
      <c r="H46" s="3"/>
      <c r="I46" s="3"/>
      <c r="J46" s="3"/>
      <c r="K46" s="3"/>
      <c r="L46" s="3"/>
      <c r="M46" s="3"/>
    </row>
    <row r="47" spans="1:18" x14ac:dyDescent="0.25">
      <c r="A47" t="s">
        <v>60</v>
      </c>
      <c r="E47" s="3">
        <f>SUM(E37,E45)</f>
        <v>3817846.87</v>
      </c>
      <c r="G47" s="3">
        <f>SUM(G37,G45)</f>
        <v>2910459.3400000003</v>
      </c>
      <c r="H47" s="3"/>
      <c r="I47" s="3">
        <f>SUM(I37,I45)</f>
        <v>1909857.34</v>
      </c>
      <c r="J47" s="3"/>
      <c r="K47" s="3">
        <f>SUM(K37,K45)</f>
        <v>1697772.06</v>
      </c>
      <c r="L47" s="3"/>
      <c r="M47" s="3">
        <f>SUM(M37,M45)</f>
        <v>1468083.8</v>
      </c>
    </row>
    <row r="48" spans="1:18" x14ac:dyDescent="0.25">
      <c r="E48" s="3"/>
      <c r="G48" s="3"/>
      <c r="H48" s="3"/>
      <c r="I48" s="3"/>
      <c r="J48" s="3"/>
      <c r="K48" s="3"/>
      <c r="L48" s="3"/>
      <c r="M48" s="3"/>
    </row>
    <row r="49" spans="1:13" x14ac:dyDescent="0.25">
      <c r="A49" t="s">
        <v>59</v>
      </c>
      <c r="E49" s="3"/>
      <c r="G49" s="3"/>
      <c r="H49" s="3"/>
      <c r="I49" s="3"/>
      <c r="J49" s="3"/>
      <c r="K49" s="3"/>
      <c r="L49" s="3"/>
      <c r="M49" s="3"/>
    </row>
    <row r="50" spans="1:13" ht="7.5" customHeight="1" x14ac:dyDescent="0.25">
      <c r="A50" t="s">
        <v>6</v>
      </c>
      <c r="E50" s="3"/>
      <c r="G50" s="3"/>
      <c r="H50" s="3"/>
      <c r="I50" s="3"/>
      <c r="J50" s="3"/>
      <c r="K50" s="3"/>
      <c r="L50" s="3"/>
      <c r="M50" s="3"/>
    </row>
    <row r="51" spans="1:13" x14ac:dyDescent="0.25">
      <c r="C51" t="s">
        <v>61</v>
      </c>
      <c r="E51" s="3">
        <v>3000000</v>
      </c>
      <c r="G51" s="3">
        <v>3928022</v>
      </c>
      <c r="H51" s="3"/>
      <c r="I51" s="3">
        <v>3928022</v>
      </c>
      <c r="J51" s="3"/>
      <c r="K51" s="3">
        <v>3928022</v>
      </c>
      <c r="L51" s="3"/>
      <c r="M51" s="3">
        <v>3928022</v>
      </c>
    </row>
    <row r="52" spans="1:13" x14ac:dyDescent="0.25">
      <c r="C52" t="s">
        <v>62</v>
      </c>
      <c r="E52" s="3">
        <v>0</v>
      </c>
      <c r="G52" s="3">
        <v>0</v>
      </c>
      <c r="H52" s="3"/>
      <c r="I52" s="3">
        <v>0</v>
      </c>
      <c r="J52" s="3"/>
      <c r="K52" s="3">
        <v>0</v>
      </c>
      <c r="L52" s="3"/>
      <c r="M52" s="3">
        <v>0</v>
      </c>
    </row>
    <row r="53" spans="1:13" x14ac:dyDescent="0.25">
      <c r="C53" t="s">
        <v>66</v>
      </c>
      <c r="E53" s="3">
        <f>'Proforma IS Years 1 - 5'!O48</f>
        <v>5016561.6485774517</v>
      </c>
      <c r="G53" s="3">
        <f>'IS Years 6 - 10'!F48</f>
        <v>6805113.809464138</v>
      </c>
      <c r="H53" s="3"/>
      <c r="I53" s="3">
        <f>'IS Years 6 - 10'!I48</f>
        <v>6801844.0011669695</v>
      </c>
      <c r="J53" s="3"/>
      <c r="K53" s="3">
        <f>'IS Years 6 - 10'!L48</f>
        <v>6757697.7546431525</v>
      </c>
      <c r="L53" s="3"/>
      <c r="M53" s="3">
        <f>'Proforma IS Years 1 - 5'!L48</f>
        <v>3442194.7617732892</v>
      </c>
    </row>
    <row r="54" spans="1:13" ht="17.25" x14ac:dyDescent="0.4">
      <c r="C54" t="s">
        <v>51</v>
      </c>
      <c r="E54" s="13">
        <v>0</v>
      </c>
      <c r="G54" s="16">
        <v>0</v>
      </c>
      <c r="H54" s="3"/>
      <c r="I54" s="16">
        <v>0</v>
      </c>
      <c r="J54" s="3"/>
      <c r="K54" s="16">
        <v>0</v>
      </c>
      <c r="L54" s="3"/>
      <c r="M54" s="16">
        <v>0</v>
      </c>
    </row>
    <row r="55" spans="1:13" ht="8.25" customHeight="1" x14ac:dyDescent="0.25">
      <c r="G55" s="3"/>
      <c r="H55" s="3"/>
      <c r="I55" s="3"/>
      <c r="J55" s="3"/>
      <c r="K55" s="3"/>
      <c r="L55" s="3"/>
      <c r="M55" s="3"/>
    </row>
    <row r="56" spans="1:13" x14ac:dyDescent="0.25">
      <c r="A56" t="s">
        <v>63</v>
      </c>
      <c r="E56" s="5">
        <f>SUM(E51:E54)</f>
        <v>8016561.6485774517</v>
      </c>
      <c r="G56" s="3">
        <f>SUM(G51:G54)</f>
        <v>10733135.809464138</v>
      </c>
      <c r="H56" s="3"/>
      <c r="I56" s="3">
        <f>SUM(I51:I54)</f>
        <v>10729866.00116697</v>
      </c>
      <c r="J56" s="3"/>
      <c r="K56" s="3">
        <f>SUM(K51:K54)</f>
        <v>10685719.754643153</v>
      </c>
      <c r="L56" s="3"/>
      <c r="M56" s="3">
        <f>SUM(M51:M54)</f>
        <v>7370216.7617732892</v>
      </c>
    </row>
    <row r="57" spans="1:13" x14ac:dyDescent="0.25">
      <c r="G57" s="3"/>
      <c r="H57" s="3"/>
      <c r="I57" s="3"/>
      <c r="J57" s="3"/>
      <c r="K57" s="3"/>
      <c r="L57" s="3"/>
      <c r="M57" s="3"/>
    </row>
    <row r="58" spans="1:13" ht="7.5" customHeight="1" x14ac:dyDescent="0.25">
      <c r="G58" s="3"/>
      <c r="H58" s="3"/>
      <c r="I58" s="3"/>
      <c r="J58" s="3"/>
      <c r="K58" s="3"/>
      <c r="L58" s="3"/>
      <c r="M58" s="3"/>
    </row>
    <row r="59" spans="1:13" x14ac:dyDescent="0.25">
      <c r="A59" s="8" t="s">
        <v>64</v>
      </c>
      <c r="E59" s="5">
        <f>SUM(E56,E47)</f>
        <v>11834408.518577453</v>
      </c>
      <c r="G59" s="3">
        <f>SUM(G56,G47)</f>
        <v>13643595.149464138</v>
      </c>
      <c r="H59" s="3"/>
      <c r="I59" s="3">
        <f>SUM(I56,I47)</f>
        <v>12639723.341166969</v>
      </c>
      <c r="J59" s="3"/>
      <c r="K59" s="3">
        <f>SUM(K56,K47)</f>
        <v>12383491.814643154</v>
      </c>
      <c r="L59" s="3"/>
      <c r="M59" s="3">
        <f>SUM(M56,M47)</f>
        <v>8838300.561773289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9"/>
  <sheetViews>
    <sheetView tabSelected="1" zoomScaleNormal="100" workbookViewId="0">
      <selection activeCell="K41" sqref="K41"/>
    </sheetView>
  </sheetViews>
  <sheetFormatPr defaultRowHeight="15" x14ac:dyDescent="0.25"/>
  <cols>
    <col min="1" max="1" width="46.42578125" customWidth="1"/>
    <col min="2" max="2" width="1.7109375" customWidth="1"/>
    <col min="3" max="3" width="12.140625" customWidth="1"/>
    <col min="4" max="4" width="2.140625" customWidth="1"/>
    <col min="5" max="5" width="12.5703125" bestFit="1" customWidth="1"/>
    <col min="6" max="6" width="2.140625" customWidth="1"/>
    <col min="7" max="7" width="12.5703125" customWidth="1"/>
    <col min="8" max="8" width="2.140625" customWidth="1"/>
    <col min="9" max="9" width="12.140625" customWidth="1"/>
    <col min="10" max="10" width="2.140625" customWidth="1"/>
    <col min="11" max="11" width="12.28515625" customWidth="1"/>
    <col min="12" max="12" width="2.140625" customWidth="1"/>
    <col min="13" max="13" width="12.140625" customWidth="1"/>
    <col min="14" max="14" width="1.7109375" customWidth="1"/>
    <col min="15" max="15" width="12.5703125" customWidth="1"/>
    <col min="16" max="16" width="2.140625" customWidth="1"/>
    <col min="17" max="17" width="13" customWidth="1"/>
    <col min="18" max="18" width="2.140625" customWidth="1"/>
    <col min="19" max="19" width="12.5703125" customWidth="1"/>
    <col min="20" max="20" width="2.140625" customWidth="1"/>
    <col min="21" max="21" width="12.7109375" customWidth="1"/>
    <col min="22" max="22" width="2.140625" customWidth="1"/>
    <col min="23" max="23" width="12.7109375" customWidth="1"/>
    <col min="24" max="24" width="2.140625" customWidth="1"/>
    <col min="25" max="25" width="13.42578125" customWidth="1"/>
    <col min="26" max="26" width="2.140625" customWidth="1"/>
    <col min="27" max="27" width="12" customWidth="1"/>
    <col min="28" max="28" width="2.140625" customWidth="1"/>
    <col min="29" max="29" width="12.140625" customWidth="1"/>
    <col min="30" max="30" width="2.140625" customWidth="1"/>
    <col min="31" max="31" width="12.140625" customWidth="1"/>
    <col min="32" max="32" width="2.140625" customWidth="1"/>
    <col min="33" max="33" width="12.42578125" customWidth="1"/>
    <col min="34" max="34" width="2.140625" customWidth="1"/>
    <col min="35" max="35" width="12.42578125" customWidth="1"/>
    <col min="36" max="36" width="2.140625" customWidth="1"/>
    <col min="37" max="37" width="12.140625" customWidth="1"/>
    <col min="38" max="38" width="2.140625" customWidth="1"/>
    <col min="39" max="39" width="12.28515625" customWidth="1"/>
    <col min="40" max="40" width="2.140625" customWidth="1"/>
    <col min="41" max="41" width="12.5703125" customWidth="1"/>
  </cols>
  <sheetData>
    <row r="1" spans="1:41" x14ac:dyDescent="0.25">
      <c r="E1" s="12">
        <v>2014</v>
      </c>
      <c r="F1" s="17"/>
      <c r="G1" s="17"/>
      <c r="I1" s="12">
        <v>2015</v>
      </c>
      <c r="J1" s="17"/>
      <c r="K1" s="17"/>
      <c r="M1" s="12">
        <v>2016</v>
      </c>
      <c r="N1" s="17"/>
      <c r="O1" s="17"/>
      <c r="Q1" s="12">
        <v>2017</v>
      </c>
      <c r="R1" s="17"/>
      <c r="S1" s="17"/>
      <c r="U1" s="12">
        <v>2018</v>
      </c>
      <c r="Y1" s="12">
        <v>2019</v>
      </c>
      <c r="AA1" t="s">
        <v>6</v>
      </c>
      <c r="AC1" s="12">
        <v>2020</v>
      </c>
      <c r="AG1" s="12">
        <v>2021</v>
      </c>
      <c r="AK1" s="12">
        <v>2022</v>
      </c>
      <c r="AO1" s="12">
        <v>2023</v>
      </c>
    </row>
    <row r="2" spans="1:41" ht="6" customHeight="1" x14ac:dyDescent="0.25">
      <c r="G2" s="3"/>
      <c r="H2" s="3"/>
      <c r="I2" s="3"/>
      <c r="K2" s="3"/>
      <c r="L2" s="3"/>
      <c r="M2" s="3"/>
      <c r="O2" s="3"/>
      <c r="P2" s="3"/>
      <c r="Q2" s="3"/>
    </row>
    <row r="3" spans="1:41" x14ac:dyDescent="0.25">
      <c r="A3" t="s">
        <v>69</v>
      </c>
      <c r="G3" s="3"/>
      <c r="H3" s="3"/>
      <c r="I3" s="3"/>
      <c r="K3" s="3"/>
      <c r="L3" s="3"/>
      <c r="M3" s="3"/>
      <c r="O3" s="3"/>
      <c r="P3" s="3"/>
      <c r="Q3" s="3"/>
      <c r="S3" s="3"/>
      <c r="T3" s="3"/>
      <c r="U3" s="3"/>
    </row>
    <row r="4" spans="1:41" x14ac:dyDescent="0.25">
      <c r="A4" t="s">
        <v>93</v>
      </c>
      <c r="E4" s="3">
        <f>'Proforma IS Years 1 - 5'!C48</f>
        <v>1174011.9704687996</v>
      </c>
      <c r="F4" s="3"/>
      <c r="G4" s="3"/>
      <c r="H4" s="3"/>
      <c r="I4" s="3">
        <f>'Proforma IS Years 1 - 5'!F48</f>
        <v>1730584.7128030956</v>
      </c>
      <c r="K4" s="3"/>
      <c r="L4" s="3"/>
      <c r="M4" s="3">
        <f>'Proforma IS Years 1 - 5'!I48</f>
        <v>2390047.1566785662</v>
      </c>
      <c r="O4" s="3"/>
      <c r="P4" s="3"/>
      <c r="Q4" s="3">
        <f>'Proforma IS Years 1 - 5'!L48</f>
        <v>3442194.7617732892</v>
      </c>
      <c r="S4" s="3"/>
      <c r="T4" s="3"/>
      <c r="U4" s="3">
        <f>'Proforma IS Years 1 - 5'!O48</f>
        <v>5016561.6485774517</v>
      </c>
      <c r="W4" s="3"/>
      <c r="X4" s="3"/>
      <c r="Y4" s="3">
        <f>'IS Years 6 - 10'!C48</f>
        <v>6395610.4364710962</v>
      </c>
      <c r="Z4" s="3"/>
      <c r="AA4" s="3"/>
      <c r="AB4" s="3"/>
      <c r="AC4" s="3">
        <f>'IS Years 6 - 10'!F48</f>
        <v>6805113.809464138</v>
      </c>
      <c r="AE4" s="3"/>
      <c r="AF4" s="3"/>
      <c r="AG4" s="3">
        <f>'IS Years 6 - 10'!I48</f>
        <v>6801844.0011669695</v>
      </c>
      <c r="AI4" s="3"/>
      <c r="AJ4" s="3"/>
      <c r="AK4" s="3">
        <f>'IS Years 6 - 10'!L48</f>
        <v>6757697.7546431525</v>
      </c>
      <c r="AM4" s="3"/>
      <c r="AN4" s="3"/>
      <c r="AO4" s="3">
        <f>'IS Years 6 - 10'!O48</f>
        <v>6709379.8229144868</v>
      </c>
    </row>
    <row r="5" spans="1:41" ht="6.75" customHeight="1" x14ac:dyDescent="0.25">
      <c r="E5" s="3"/>
      <c r="F5" s="3"/>
      <c r="G5" s="3"/>
      <c r="H5" s="3"/>
      <c r="I5" s="3"/>
      <c r="K5" s="3"/>
      <c r="L5" s="3"/>
      <c r="M5" s="3"/>
      <c r="O5" s="3"/>
      <c r="P5" s="3"/>
      <c r="Q5" s="3"/>
      <c r="S5" s="3"/>
      <c r="T5" s="3"/>
      <c r="U5" s="3"/>
      <c r="W5" s="3"/>
      <c r="X5" s="3"/>
      <c r="Y5" s="3"/>
      <c r="Z5" s="3"/>
      <c r="AA5" s="3"/>
      <c r="AB5" s="3"/>
      <c r="AC5" s="3"/>
      <c r="AE5" s="3"/>
      <c r="AF5" s="3"/>
      <c r="AG5" s="3"/>
      <c r="AI5" s="3"/>
      <c r="AJ5" s="3"/>
      <c r="AK5" s="3"/>
      <c r="AM5" s="3"/>
      <c r="AN5" s="3"/>
      <c r="AO5" s="3"/>
    </row>
    <row r="6" spans="1:41" x14ac:dyDescent="0.25">
      <c r="A6" t="s">
        <v>70</v>
      </c>
      <c r="E6" s="3"/>
      <c r="F6" s="3"/>
      <c r="G6" s="3"/>
      <c r="H6" s="3"/>
      <c r="I6" s="3"/>
      <c r="K6" s="3"/>
      <c r="L6" s="3"/>
      <c r="M6" s="3"/>
      <c r="O6" s="3"/>
      <c r="P6" s="3"/>
      <c r="Q6" s="3"/>
      <c r="S6" s="3"/>
      <c r="T6" s="3"/>
      <c r="U6" s="3"/>
      <c r="W6" s="3"/>
      <c r="X6" s="3"/>
      <c r="Y6" s="3"/>
      <c r="Z6" s="3"/>
      <c r="AA6" s="3"/>
      <c r="AB6" s="3"/>
      <c r="AC6" s="3"/>
      <c r="AE6" s="3"/>
      <c r="AF6" s="3"/>
      <c r="AG6" s="3"/>
      <c r="AI6" s="3"/>
      <c r="AJ6" s="3"/>
      <c r="AK6" s="3"/>
      <c r="AM6" s="3"/>
      <c r="AN6" s="3"/>
      <c r="AO6" s="3"/>
    </row>
    <row r="7" spans="1:41" x14ac:dyDescent="0.25">
      <c r="A7" t="s">
        <v>71</v>
      </c>
      <c r="C7" s="3">
        <v>0</v>
      </c>
      <c r="E7" s="3"/>
      <c r="F7" s="3"/>
      <c r="G7" s="3">
        <v>0</v>
      </c>
      <c r="H7" s="3"/>
      <c r="I7" s="3"/>
      <c r="K7" s="3">
        <v>0</v>
      </c>
      <c r="L7" s="3"/>
      <c r="M7" s="3"/>
      <c r="O7" s="3">
        <v>0</v>
      </c>
      <c r="P7" s="3"/>
      <c r="Q7" s="3"/>
      <c r="S7" s="3">
        <v>0</v>
      </c>
      <c r="T7" s="3"/>
      <c r="U7" s="3"/>
      <c r="W7" s="3">
        <v>0</v>
      </c>
      <c r="X7" s="3"/>
      <c r="Y7" s="3"/>
      <c r="Z7" s="3"/>
      <c r="AA7" s="3">
        <v>0</v>
      </c>
      <c r="AB7" s="3"/>
      <c r="AC7" s="3"/>
      <c r="AE7" s="3">
        <v>0</v>
      </c>
      <c r="AF7" s="3"/>
      <c r="AG7" s="3"/>
      <c r="AI7" s="3">
        <v>0</v>
      </c>
      <c r="AJ7" s="3"/>
      <c r="AK7" s="3"/>
      <c r="AM7" s="3">
        <v>0</v>
      </c>
      <c r="AN7" s="3"/>
      <c r="AO7" s="3"/>
    </row>
    <row r="8" spans="1:41" x14ac:dyDescent="0.25">
      <c r="A8" t="s">
        <v>72</v>
      </c>
      <c r="C8" s="3">
        <v>0</v>
      </c>
      <c r="E8" s="3"/>
      <c r="F8" s="3"/>
      <c r="G8" s="3">
        <v>0</v>
      </c>
      <c r="H8" s="3"/>
      <c r="I8" s="3"/>
      <c r="K8" s="3">
        <v>0</v>
      </c>
      <c r="L8" s="3"/>
      <c r="M8" s="3"/>
      <c r="O8" s="3">
        <v>0</v>
      </c>
      <c r="P8" s="3"/>
      <c r="Q8" s="3"/>
      <c r="S8" s="3">
        <v>0</v>
      </c>
      <c r="T8" s="3"/>
      <c r="U8" s="3"/>
      <c r="W8" s="3">
        <v>0</v>
      </c>
      <c r="X8" s="3"/>
      <c r="Y8" s="3"/>
      <c r="Z8" s="3"/>
      <c r="AA8" s="3">
        <v>0</v>
      </c>
      <c r="AB8" s="3"/>
      <c r="AC8" s="3"/>
      <c r="AE8" s="3">
        <v>0</v>
      </c>
      <c r="AF8" s="3"/>
      <c r="AG8" s="3"/>
      <c r="AI8" s="3">
        <v>0</v>
      </c>
      <c r="AJ8" s="3"/>
      <c r="AK8" s="3"/>
      <c r="AM8" s="3">
        <v>0</v>
      </c>
      <c r="AN8" s="3"/>
      <c r="AO8" s="3"/>
    </row>
    <row r="9" spans="1:41" x14ac:dyDescent="0.25">
      <c r="A9" t="s">
        <v>73</v>
      </c>
      <c r="C9" s="3">
        <v>0</v>
      </c>
      <c r="E9" s="3"/>
      <c r="F9" s="3"/>
      <c r="G9" s="3">
        <v>0</v>
      </c>
      <c r="H9" s="3"/>
      <c r="I9" s="3"/>
      <c r="K9" s="3">
        <v>0</v>
      </c>
      <c r="L9" s="3"/>
      <c r="M9" s="3"/>
      <c r="O9" s="3">
        <v>0</v>
      </c>
      <c r="P9" s="3"/>
      <c r="Q9" s="3"/>
      <c r="S9" s="3">
        <v>0</v>
      </c>
      <c r="T9" s="3"/>
      <c r="U9" s="3"/>
      <c r="W9" s="3">
        <v>0</v>
      </c>
      <c r="X9" s="3"/>
      <c r="Y9" s="3"/>
      <c r="Z9" s="3"/>
      <c r="AA9" s="3">
        <v>0</v>
      </c>
      <c r="AB9" s="3"/>
      <c r="AC9" s="3"/>
      <c r="AE9" s="3">
        <v>0</v>
      </c>
      <c r="AF9" s="3"/>
      <c r="AG9" s="3"/>
      <c r="AI9" s="3">
        <v>0</v>
      </c>
      <c r="AJ9" s="3"/>
      <c r="AK9" s="3"/>
      <c r="AM9" s="3">
        <v>0</v>
      </c>
      <c r="AN9" s="3"/>
      <c r="AO9" s="3"/>
    </row>
    <row r="10" spans="1:41" x14ac:dyDescent="0.25">
      <c r="A10" t="s">
        <v>74</v>
      </c>
      <c r="C10" s="7">
        <v>21838.880000000001</v>
      </c>
      <c r="E10" s="18" t="s">
        <v>6</v>
      </c>
      <c r="F10" s="18"/>
      <c r="G10" s="7">
        <v>21839</v>
      </c>
      <c r="H10" s="3"/>
      <c r="I10" s="3"/>
      <c r="K10" s="7">
        <v>21839</v>
      </c>
      <c r="L10" s="3"/>
      <c r="M10" s="3"/>
      <c r="O10" s="7">
        <v>21839</v>
      </c>
      <c r="P10" s="3"/>
      <c r="Q10" s="3"/>
      <c r="S10" s="7">
        <v>21839</v>
      </c>
      <c r="T10" s="3"/>
      <c r="U10" s="3"/>
      <c r="W10" s="7">
        <v>21839</v>
      </c>
      <c r="X10" s="3"/>
      <c r="Y10" s="3"/>
      <c r="Z10" s="3"/>
      <c r="AA10" s="7">
        <v>21839</v>
      </c>
      <c r="AB10" s="3"/>
      <c r="AC10" s="3"/>
      <c r="AE10" s="7"/>
      <c r="AF10" s="3"/>
      <c r="AG10" s="3"/>
      <c r="AI10" s="7">
        <v>0</v>
      </c>
      <c r="AJ10" s="3"/>
      <c r="AK10" s="3"/>
      <c r="AM10" s="7">
        <v>0</v>
      </c>
      <c r="AN10" s="3"/>
      <c r="AO10" s="3"/>
    </row>
    <row r="11" spans="1:41" x14ac:dyDescent="0.25">
      <c r="E11" s="7">
        <f>SUM(C7:C10)</f>
        <v>21838.880000000001</v>
      </c>
      <c r="F11" s="3"/>
      <c r="G11" s="3"/>
      <c r="H11" s="3"/>
      <c r="I11" s="7">
        <f>SUM(G7:G10)</f>
        <v>21839</v>
      </c>
      <c r="K11" s="3"/>
      <c r="L11" s="3"/>
      <c r="M11" s="16">
        <f>SUM(K7:K10)</f>
        <v>21839</v>
      </c>
      <c r="O11" s="3"/>
      <c r="P11" s="3"/>
      <c r="Q11" s="7">
        <f>SUM(O7:O10)</f>
        <v>21839</v>
      </c>
      <c r="S11" s="3"/>
      <c r="T11" s="3"/>
      <c r="U11" s="7">
        <f>SUM(S7:S10)</f>
        <v>21839</v>
      </c>
      <c r="W11" s="3"/>
      <c r="X11" s="3"/>
      <c r="Y11" s="7">
        <f>SUM(W7:W10)</f>
        <v>21839</v>
      </c>
      <c r="Z11" s="3"/>
      <c r="AA11" s="3"/>
      <c r="AB11" s="3"/>
      <c r="AC11" s="7">
        <f>SUM(AA7:AA10)</f>
        <v>21839</v>
      </c>
      <c r="AE11" s="3"/>
      <c r="AF11" s="3"/>
      <c r="AG11" s="7">
        <f>SUM(AE7:AE10)</f>
        <v>0</v>
      </c>
      <c r="AI11" s="3"/>
      <c r="AJ11" s="3"/>
      <c r="AK11" s="7">
        <f>SUM(AI7:AI10)</f>
        <v>0</v>
      </c>
      <c r="AM11" s="3"/>
      <c r="AN11" s="3"/>
      <c r="AO11" s="7">
        <f>SUM(AM7:AM10)</f>
        <v>0</v>
      </c>
    </row>
    <row r="12" spans="1:41" ht="6" customHeight="1" x14ac:dyDescent="0.25">
      <c r="E12" s="3"/>
      <c r="F12" s="3"/>
      <c r="G12" s="3"/>
      <c r="H12" s="3"/>
      <c r="I12" s="3"/>
      <c r="K12" s="3"/>
      <c r="L12" s="3"/>
      <c r="M12" s="3"/>
      <c r="O12" s="3"/>
      <c r="P12" s="3"/>
      <c r="Q12" s="3"/>
      <c r="S12" s="3"/>
      <c r="T12" s="3"/>
      <c r="U12" s="3"/>
      <c r="W12" s="3"/>
      <c r="X12" s="3"/>
      <c r="Y12" s="3"/>
      <c r="Z12" s="3"/>
      <c r="AA12" s="3"/>
      <c r="AB12" s="3"/>
      <c r="AC12" s="3"/>
      <c r="AE12" s="3"/>
      <c r="AF12" s="3"/>
      <c r="AG12" s="3"/>
      <c r="AI12" s="3"/>
      <c r="AJ12" s="3"/>
      <c r="AK12" s="3"/>
      <c r="AM12" s="3"/>
      <c r="AN12" s="3"/>
      <c r="AO12" s="3"/>
    </row>
    <row r="13" spans="1:41" x14ac:dyDescent="0.25">
      <c r="A13" t="s">
        <v>76</v>
      </c>
      <c r="E13" s="3">
        <f>SUM(E4,E11)</f>
        <v>1195850.8504687995</v>
      </c>
      <c r="F13" s="3"/>
      <c r="G13" s="3"/>
      <c r="H13" s="3"/>
      <c r="I13" s="3">
        <f>SUM(I4:I11)</f>
        <v>1752423.7128030956</v>
      </c>
      <c r="K13" s="3"/>
      <c r="L13" s="3"/>
      <c r="M13" s="3">
        <f>SUM(M4,M11)</f>
        <v>2411886.1566785662</v>
      </c>
      <c r="O13" s="3"/>
      <c r="P13" s="3"/>
      <c r="Q13" s="3">
        <f>SUM(Q4,Q11)</f>
        <v>3464033.7617732892</v>
      </c>
      <c r="S13" s="3"/>
      <c r="T13" s="3"/>
      <c r="U13" s="3">
        <f>SUM(U4,U11)</f>
        <v>5038400.6485774517</v>
      </c>
      <c r="W13" s="3"/>
      <c r="X13" s="3"/>
      <c r="Y13" s="3">
        <f>SUM(Y4,Y11)</f>
        <v>6417449.4364710962</v>
      </c>
      <c r="Z13" s="3"/>
      <c r="AA13" s="3"/>
      <c r="AB13" s="3"/>
      <c r="AC13" s="3">
        <f>SUM(AC4,AC11)</f>
        <v>6826952.809464138</v>
      </c>
      <c r="AE13" s="3"/>
      <c r="AF13" s="3"/>
      <c r="AG13" s="3">
        <f>SUM(AG4,AG11)</f>
        <v>6801844.0011669695</v>
      </c>
      <c r="AI13" s="3"/>
      <c r="AJ13" s="3"/>
      <c r="AK13" s="3">
        <f>SUM(AK4,AK11)</f>
        <v>6757697.7546431525</v>
      </c>
      <c r="AM13" s="3"/>
      <c r="AN13" s="3"/>
      <c r="AO13" s="3">
        <f>SUM(AO4,AO11)</f>
        <v>6709379.8229144868</v>
      </c>
    </row>
    <row r="14" spans="1:41" x14ac:dyDescent="0.25">
      <c r="E14" s="3"/>
      <c r="F14" s="3"/>
      <c r="G14" s="3"/>
      <c r="H14" s="3"/>
      <c r="I14" s="3"/>
      <c r="K14" s="3"/>
      <c r="L14" s="3"/>
      <c r="M14" s="3"/>
      <c r="O14" s="3"/>
      <c r="P14" s="3"/>
      <c r="Q14" s="3"/>
      <c r="S14" s="3"/>
      <c r="T14" s="3"/>
      <c r="U14" s="3"/>
      <c r="W14" s="3"/>
      <c r="X14" s="3"/>
      <c r="Y14" s="3"/>
      <c r="Z14" s="3"/>
      <c r="AA14" s="3"/>
      <c r="AB14" s="3"/>
      <c r="AC14" s="3"/>
      <c r="AE14" s="3"/>
      <c r="AF14" s="3"/>
      <c r="AG14" s="3"/>
      <c r="AI14" s="3"/>
      <c r="AJ14" s="3"/>
      <c r="AK14" s="3"/>
      <c r="AM14" s="3"/>
      <c r="AN14" s="3"/>
      <c r="AO14" s="3"/>
    </row>
    <row r="15" spans="1:41" x14ac:dyDescent="0.25">
      <c r="A15" t="s">
        <v>77</v>
      </c>
      <c r="E15" s="3"/>
      <c r="F15" s="3"/>
      <c r="G15" s="3"/>
      <c r="H15" s="3"/>
      <c r="I15" s="3"/>
      <c r="K15" s="3"/>
      <c r="L15" s="3"/>
      <c r="M15" s="3"/>
      <c r="O15" s="3"/>
      <c r="P15" s="3"/>
      <c r="Q15" s="3"/>
      <c r="S15" s="3"/>
      <c r="T15" s="3"/>
      <c r="U15" s="3"/>
      <c r="W15" s="3"/>
      <c r="X15" s="3"/>
      <c r="Y15" s="3"/>
      <c r="Z15" s="3"/>
      <c r="AA15" s="3"/>
      <c r="AB15" s="3"/>
      <c r="AC15" s="3"/>
      <c r="AE15" s="3"/>
      <c r="AF15" s="3"/>
      <c r="AG15" s="3"/>
      <c r="AI15" s="3"/>
      <c r="AJ15" s="3"/>
      <c r="AK15" s="3"/>
      <c r="AM15" s="3"/>
      <c r="AN15" s="3"/>
      <c r="AO15" s="3"/>
    </row>
    <row r="16" spans="1:41" x14ac:dyDescent="0.25">
      <c r="A16" t="s">
        <v>78</v>
      </c>
      <c r="C16" s="3">
        <v>0</v>
      </c>
      <c r="E16" s="3"/>
      <c r="F16" s="3"/>
      <c r="G16" s="3">
        <v>0</v>
      </c>
      <c r="H16" s="3"/>
      <c r="I16" s="3" t="s">
        <v>6</v>
      </c>
      <c r="K16" s="3">
        <v>0</v>
      </c>
      <c r="L16" s="3"/>
      <c r="M16" s="3"/>
      <c r="O16" s="3">
        <v>0</v>
      </c>
      <c r="P16" s="3"/>
      <c r="Q16" s="3"/>
      <c r="S16" s="3">
        <v>0</v>
      </c>
      <c r="T16" s="3"/>
      <c r="U16" s="3"/>
      <c r="W16" s="3">
        <v>0</v>
      </c>
      <c r="X16" s="3"/>
      <c r="Y16" s="3"/>
      <c r="Z16" s="3"/>
      <c r="AA16" s="3">
        <v>0</v>
      </c>
      <c r="AB16" s="3"/>
      <c r="AC16" s="3"/>
      <c r="AE16" s="3">
        <v>0</v>
      </c>
      <c r="AF16" s="3"/>
      <c r="AG16" s="3"/>
      <c r="AI16" s="3">
        <v>0</v>
      </c>
      <c r="AJ16" s="3"/>
      <c r="AK16" s="3"/>
      <c r="AM16" s="3">
        <v>0</v>
      </c>
      <c r="AN16" s="3"/>
      <c r="AO16" s="3"/>
    </row>
    <row r="17" spans="1:41" x14ac:dyDescent="0.25">
      <c r="A17" t="s">
        <v>103</v>
      </c>
      <c r="C17" s="7">
        <v>0</v>
      </c>
      <c r="E17" s="3"/>
      <c r="F17" s="3"/>
      <c r="G17" s="7">
        <v>0</v>
      </c>
      <c r="H17" s="3"/>
      <c r="I17" s="3" t="s">
        <v>6</v>
      </c>
      <c r="K17" s="7">
        <v>0</v>
      </c>
      <c r="L17" s="3"/>
      <c r="M17" s="3"/>
      <c r="O17" s="7">
        <v>0</v>
      </c>
      <c r="P17" s="3"/>
      <c r="Q17" s="3"/>
      <c r="S17" s="7">
        <v>0</v>
      </c>
      <c r="T17" s="3"/>
      <c r="U17" s="3"/>
      <c r="W17" s="7">
        <v>0</v>
      </c>
      <c r="X17" s="3"/>
      <c r="Y17" s="3"/>
      <c r="Z17" s="3"/>
      <c r="AA17" s="7">
        <v>0</v>
      </c>
      <c r="AB17" s="3"/>
      <c r="AC17" s="3"/>
      <c r="AE17" s="7">
        <v>0</v>
      </c>
      <c r="AF17" s="3"/>
      <c r="AG17" s="3"/>
      <c r="AI17" s="7">
        <v>0</v>
      </c>
      <c r="AJ17" s="3"/>
      <c r="AK17" s="3"/>
      <c r="AM17" s="7">
        <v>0</v>
      </c>
      <c r="AN17" s="3"/>
      <c r="AO17" s="3"/>
    </row>
    <row r="18" spans="1:41" x14ac:dyDescent="0.25">
      <c r="E18" s="3">
        <f>SUM(C16:C17)</f>
        <v>0</v>
      </c>
      <c r="F18" s="3"/>
      <c r="G18" s="3"/>
      <c r="H18" s="3"/>
      <c r="I18" s="3">
        <f>SUM(G16:G17)</f>
        <v>0</v>
      </c>
      <c r="K18" s="3"/>
      <c r="L18" s="3"/>
      <c r="M18" s="3">
        <f>SUM(K16:K17)</f>
        <v>0</v>
      </c>
      <c r="O18" s="3"/>
      <c r="P18" s="3"/>
      <c r="Q18" s="3">
        <f>SUM(O16:O17)</f>
        <v>0</v>
      </c>
      <c r="S18" s="3"/>
      <c r="T18" s="3"/>
      <c r="U18" s="3">
        <f>SUM(S16:S17)</f>
        <v>0</v>
      </c>
      <c r="V18" t="s">
        <v>6</v>
      </c>
      <c r="W18" s="3"/>
      <c r="X18" s="3"/>
      <c r="Y18" s="3">
        <f>SUM(W16:W17)</f>
        <v>0</v>
      </c>
      <c r="Z18" s="3"/>
      <c r="AA18" s="3"/>
      <c r="AB18" s="3"/>
      <c r="AC18" s="3">
        <f>SUM(AA16:AA17)</f>
        <v>0</v>
      </c>
      <c r="AE18" s="3"/>
      <c r="AF18" s="3"/>
      <c r="AG18" s="3">
        <f>SUM(AE16:AE17)</f>
        <v>0</v>
      </c>
      <c r="AI18" s="3"/>
      <c r="AJ18" s="3"/>
      <c r="AK18" s="3">
        <f>SUM(AI16:AI17)</f>
        <v>0</v>
      </c>
      <c r="AM18" s="3"/>
      <c r="AN18" s="3"/>
      <c r="AO18" s="3">
        <f>SUM(AM16:AM17)</f>
        <v>0</v>
      </c>
    </row>
    <row r="19" spans="1:41" x14ac:dyDescent="0.25">
      <c r="E19" s="3"/>
      <c r="F19" s="3"/>
      <c r="G19" s="3"/>
      <c r="H19" s="3"/>
      <c r="I19" s="3"/>
      <c r="K19" s="3"/>
      <c r="L19" s="3"/>
      <c r="M19" s="3"/>
      <c r="O19" s="3"/>
      <c r="P19" s="3"/>
      <c r="Q19" s="3"/>
      <c r="S19" s="3"/>
      <c r="T19" s="3"/>
      <c r="U19" s="3"/>
      <c r="W19" s="3"/>
      <c r="X19" s="3"/>
      <c r="Y19" s="3"/>
      <c r="Z19" s="3"/>
      <c r="AA19" s="3"/>
      <c r="AB19" s="3"/>
      <c r="AC19" s="3"/>
      <c r="AE19" s="3"/>
      <c r="AF19" s="3"/>
      <c r="AG19" s="3"/>
      <c r="AI19" s="3"/>
      <c r="AJ19" s="3"/>
      <c r="AK19" s="3"/>
      <c r="AM19" s="3"/>
      <c r="AN19" s="3"/>
      <c r="AO19" s="3"/>
    </row>
    <row r="20" spans="1:41" x14ac:dyDescent="0.25">
      <c r="A20" t="s">
        <v>80</v>
      </c>
      <c r="E20" s="3"/>
      <c r="F20" s="3"/>
      <c r="G20" s="3"/>
      <c r="H20" s="3"/>
      <c r="I20" s="3"/>
      <c r="K20" s="3"/>
      <c r="L20" s="3"/>
      <c r="M20" s="3"/>
      <c r="O20" s="3"/>
      <c r="P20" s="3"/>
      <c r="Q20" s="3"/>
      <c r="S20" s="3"/>
      <c r="T20" s="3"/>
      <c r="U20" s="3"/>
      <c r="W20" s="3"/>
      <c r="X20" s="3"/>
      <c r="Y20" s="3"/>
      <c r="Z20" s="3"/>
      <c r="AA20" s="3"/>
      <c r="AB20" s="3"/>
      <c r="AC20" s="3"/>
      <c r="AE20" s="3"/>
      <c r="AF20" s="3"/>
      <c r="AG20" s="3"/>
      <c r="AI20" s="3"/>
      <c r="AJ20" s="3"/>
      <c r="AK20" s="3"/>
      <c r="AM20" s="3"/>
      <c r="AN20" s="3"/>
      <c r="AO20" s="3"/>
    </row>
    <row r="21" spans="1:41" x14ac:dyDescent="0.25">
      <c r="A21" t="s">
        <v>82</v>
      </c>
      <c r="C21" s="3">
        <v>-150000</v>
      </c>
      <c r="E21" s="3"/>
      <c r="F21" s="3"/>
      <c r="G21" s="3">
        <v>-150000</v>
      </c>
      <c r="H21" s="3"/>
      <c r="I21" s="3" t="s">
        <v>6</v>
      </c>
      <c r="K21" s="3">
        <v>-150000</v>
      </c>
      <c r="L21" s="3"/>
      <c r="M21" s="3"/>
      <c r="O21" s="3">
        <v>-150000</v>
      </c>
      <c r="P21" s="3"/>
      <c r="Q21" s="3"/>
      <c r="S21" s="3">
        <v>-3850000</v>
      </c>
      <c r="T21" s="3"/>
      <c r="U21" s="3"/>
      <c r="W21" s="3">
        <v>-2919148.5</v>
      </c>
      <c r="X21" s="3"/>
      <c r="Y21" s="3"/>
      <c r="Z21" s="3"/>
      <c r="AA21" s="3">
        <v>-2920679.5</v>
      </c>
      <c r="AB21" s="3"/>
      <c r="AC21" s="3"/>
      <c r="AE21" s="3">
        <v>-3303006.5</v>
      </c>
      <c r="AF21" s="3"/>
      <c r="AG21" s="3"/>
      <c r="AI21" s="3">
        <v>-3272806.5</v>
      </c>
      <c r="AJ21" s="3"/>
      <c r="AK21" s="3"/>
      <c r="AM21" s="3">
        <v>-3239846</v>
      </c>
      <c r="AN21" s="3"/>
      <c r="AO21" s="3"/>
    </row>
    <row r="22" spans="1:41" x14ac:dyDescent="0.25">
      <c r="A22" t="s">
        <v>83</v>
      </c>
      <c r="C22" s="3">
        <v>0</v>
      </c>
      <c r="E22" s="3"/>
      <c r="F22" s="3"/>
      <c r="G22" s="3">
        <v>0</v>
      </c>
      <c r="H22" s="3"/>
      <c r="I22" s="3" t="s">
        <v>6</v>
      </c>
      <c r="K22" s="3">
        <v>0</v>
      </c>
      <c r="L22" s="3"/>
      <c r="M22" s="3"/>
      <c r="O22" s="3">
        <v>0</v>
      </c>
      <c r="P22" s="3"/>
      <c r="Q22" s="3"/>
      <c r="S22" s="3">
        <v>-633333.32999999996</v>
      </c>
      <c r="T22" s="3"/>
      <c r="U22" s="3"/>
      <c r="W22" s="3">
        <v>-1604771.3</v>
      </c>
      <c r="X22" s="3"/>
      <c r="Y22" s="3"/>
      <c r="Z22" s="3"/>
      <c r="AA22" s="3">
        <v>-2920679.5</v>
      </c>
      <c r="AB22" s="3"/>
      <c r="AC22" s="3"/>
      <c r="AE22" s="3">
        <v>-3303006.5</v>
      </c>
      <c r="AF22" s="3"/>
      <c r="AG22" s="3"/>
      <c r="AI22" s="3">
        <v>-3272806.1</v>
      </c>
      <c r="AJ22" s="3"/>
      <c r="AK22" s="3"/>
      <c r="AM22" s="3">
        <v>-3239845.5</v>
      </c>
      <c r="AN22" s="3"/>
      <c r="AO22" s="3"/>
    </row>
    <row r="23" spans="1:41" x14ac:dyDescent="0.25">
      <c r="A23" t="s">
        <v>92</v>
      </c>
      <c r="C23" s="3">
        <v>0</v>
      </c>
      <c r="E23" s="3"/>
      <c r="F23" s="3"/>
      <c r="G23" s="3">
        <v>0</v>
      </c>
      <c r="H23" s="3"/>
      <c r="I23" s="3"/>
      <c r="K23" s="3">
        <v>0</v>
      </c>
      <c r="L23" s="3"/>
      <c r="M23" s="3"/>
      <c r="O23" s="3">
        <v>-142353.85999999999</v>
      </c>
      <c r="P23" s="3"/>
      <c r="Q23" s="3"/>
      <c r="S23" s="3">
        <v>-154169.16</v>
      </c>
      <c r="T23" s="3"/>
      <c r="U23" s="3"/>
      <c r="W23" s="3">
        <v>-166965.12</v>
      </c>
      <c r="X23" s="3"/>
      <c r="Y23" s="3"/>
      <c r="Z23" s="3"/>
      <c r="AA23" s="3">
        <v>-180823.18</v>
      </c>
      <c r="AB23" s="3"/>
      <c r="AC23" s="3"/>
      <c r="AE23" s="3">
        <v>-195831</v>
      </c>
      <c r="AF23" s="3"/>
      <c r="AG23" s="3"/>
      <c r="AI23" s="3">
        <v>-212085</v>
      </c>
      <c r="AJ23" s="3"/>
      <c r="AK23" s="3"/>
      <c r="AM23" s="3">
        <v>-229688</v>
      </c>
      <c r="AN23" s="3"/>
      <c r="AO23" s="3"/>
    </row>
    <row r="24" spans="1:41" x14ac:dyDescent="0.25">
      <c r="A24" t="s">
        <v>89</v>
      </c>
      <c r="C24" s="3">
        <v>-333143.13</v>
      </c>
      <c r="E24" s="3"/>
      <c r="F24" s="3"/>
      <c r="G24" s="3">
        <v>-360794</v>
      </c>
      <c r="H24" s="3"/>
      <c r="I24" s="3" t="s">
        <v>6</v>
      </c>
      <c r="K24" s="3">
        <v>-390739.55</v>
      </c>
      <c r="L24" s="3"/>
      <c r="M24" s="3"/>
      <c r="O24" s="3">
        <v>-423170.75</v>
      </c>
      <c r="P24" s="3"/>
      <c r="Q24" s="3"/>
      <c r="S24" s="3">
        <v>-458293.71</v>
      </c>
      <c r="T24" s="3"/>
      <c r="U24" s="3"/>
      <c r="W24" s="3">
        <v>-496331.86</v>
      </c>
      <c r="X24" s="3"/>
      <c r="Y24" s="3"/>
      <c r="Z24" s="3"/>
      <c r="AA24" s="3">
        <v>-537527.16</v>
      </c>
      <c r="AB24" s="3"/>
      <c r="AC24" s="3"/>
      <c r="AE24" s="3">
        <v>0</v>
      </c>
      <c r="AF24" s="3"/>
      <c r="AG24" s="3"/>
      <c r="AI24" s="3">
        <v>0</v>
      </c>
      <c r="AJ24" s="3"/>
      <c r="AK24" s="3"/>
      <c r="AM24" s="3">
        <v>0</v>
      </c>
      <c r="AN24" s="3"/>
      <c r="AO24" s="3"/>
    </row>
    <row r="25" spans="1:41" x14ac:dyDescent="0.25">
      <c r="A25" t="s">
        <v>90</v>
      </c>
      <c r="C25" s="3">
        <v>-109260.9</v>
      </c>
      <c r="E25" s="3"/>
      <c r="F25" s="3"/>
      <c r="G25" s="3">
        <v>-126825</v>
      </c>
      <c r="H25" s="3"/>
      <c r="I25" s="3" t="s">
        <v>6</v>
      </c>
      <c r="K25" s="3">
        <v>-147212.79</v>
      </c>
      <c r="L25" s="3"/>
      <c r="M25" s="3"/>
      <c r="O25" s="3">
        <v>-170877.91</v>
      </c>
      <c r="P25" s="3"/>
      <c r="Q25" s="3"/>
      <c r="S25" s="3">
        <v>-198347.31</v>
      </c>
      <c r="T25" s="3"/>
      <c r="U25" s="3"/>
      <c r="W25" s="3">
        <v>-230232.54</v>
      </c>
      <c r="X25" s="3"/>
      <c r="Y25" s="3"/>
      <c r="Z25" s="3"/>
      <c r="AA25" s="3">
        <v>-267243.46000000002</v>
      </c>
      <c r="AB25" s="3"/>
      <c r="AC25" s="3"/>
      <c r="AE25" s="3">
        <v>0</v>
      </c>
      <c r="AF25" s="3"/>
      <c r="AG25" s="3"/>
      <c r="AI25" s="3">
        <v>0</v>
      </c>
      <c r="AJ25" s="3"/>
      <c r="AK25" s="3"/>
      <c r="AM25" s="3">
        <v>0</v>
      </c>
      <c r="AN25" s="3"/>
      <c r="AO25" s="3"/>
    </row>
    <row r="26" spans="1:41" x14ac:dyDescent="0.25">
      <c r="A26" t="s">
        <v>91</v>
      </c>
      <c r="C26" s="3">
        <v>-1000000</v>
      </c>
      <c r="E26" s="3"/>
      <c r="F26" s="3"/>
      <c r="G26" s="3">
        <f>-(E36-250000)</f>
        <v>-603446.82046879944</v>
      </c>
      <c r="H26" s="3"/>
      <c r="I26" s="3"/>
      <c r="K26" s="3">
        <f>-(I36-250000)</f>
        <v>-1114804.7128030956</v>
      </c>
      <c r="L26" s="3"/>
      <c r="M26" s="3"/>
      <c r="O26" s="3">
        <f>-(M36-250000)</f>
        <v>-1723933.8166785662</v>
      </c>
      <c r="P26" s="3"/>
      <c r="Q26" s="3"/>
      <c r="S26" s="3">
        <v>-2321888</v>
      </c>
      <c r="T26" s="3"/>
      <c r="U26" s="3"/>
      <c r="W26" s="3">
        <v>-1000000</v>
      </c>
      <c r="X26" s="3"/>
      <c r="Y26" s="3"/>
      <c r="Z26" s="3"/>
      <c r="AA26" s="3">
        <v>0</v>
      </c>
      <c r="AB26" s="3"/>
      <c r="AC26" s="3"/>
      <c r="AE26" s="3">
        <v>0</v>
      </c>
      <c r="AF26" s="3"/>
      <c r="AG26" s="3"/>
      <c r="AI26" s="3">
        <v>0</v>
      </c>
      <c r="AJ26" s="3"/>
      <c r="AK26" s="3"/>
      <c r="AM26" s="3">
        <v>0</v>
      </c>
      <c r="AN26" s="3"/>
      <c r="AO26" s="3"/>
    </row>
    <row r="27" spans="1:41" x14ac:dyDescent="0.25">
      <c r="A27" t="s">
        <v>81</v>
      </c>
      <c r="C27" s="3">
        <v>0</v>
      </c>
      <c r="E27" s="3"/>
      <c r="F27" s="3"/>
      <c r="G27" s="3">
        <v>0</v>
      </c>
      <c r="H27" s="3"/>
      <c r="I27" s="3" t="s">
        <v>6</v>
      </c>
      <c r="K27" s="3">
        <v>0</v>
      </c>
      <c r="L27" s="3"/>
      <c r="M27" s="3"/>
      <c r="O27" s="3">
        <v>0</v>
      </c>
      <c r="P27" s="3"/>
      <c r="Q27" s="3"/>
      <c r="S27" s="3">
        <v>0</v>
      </c>
      <c r="T27" s="3"/>
      <c r="U27" s="3"/>
      <c r="W27" s="3">
        <v>0</v>
      </c>
      <c r="X27" s="3"/>
      <c r="Y27" s="3"/>
      <c r="Z27" s="3"/>
      <c r="AA27" s="3">
        <v>0</v>
      </c>
      <c r="AB27" s="3"/>
      <c r="AC27" s="3"/>
      <c r="AE27" s="3">
        <v>0</v>
      </c>
      <c r="AF27" s="3"/>
      <c r="AG27" s="3"/>
      <c r="AI27" s="3">
        <v>0</v>
      </c>
      <c r="AJ27" s="3"/>
      <c r="AK27" s="3"/>
      <c r="AM27" s="3">
        <v>0</v>
      </c>
      <c r="AN27" s="3"/>
      <c r="AO27" s="3"/>
    </row>
    <row r="28" spans="1:41" x14ac:dyDescent="0.25">
      <c r="A28" t="s">
        <v>79</v>
      </c>
      <c r="C28" s="7">
        <v>0</v>
      </c>
      <c r="D28" t="s">
        <v>6</v>
      </c>
      <c r="E28" s="3"/>
      <c r="F28" s="3"/>
      <c r="G28" s="7">
        <v>0</v>
      </c>
      <c r="H28" s="3"/>
      <c r="I28" s="3"/>
      <c r="K28" s="7">
        <v>0</v>
      </c>
      <c r="L28" s="3"/>
      <c r="M28" s="3"/>
      <c r="O28" s="7">
        <v>0</v>
      </c>
      <c r="P28" s="3"/>
      <c r="Q28" s="3"/>
      <c r="S28" s="7">
        <v>0</v>
      </c>
      <c r="T28" s="3"/>
      <c r="U28" s="3"/>
      <c r="W28" s="7">
        <v>0</v>
      </c>
      <c r="X28" s="3"/>
      <c r="Y28" s="3"/>
      <c r="Z28" s="3"/>
      <c r="AA28" s="7">
        <v>0</v>
      </c>
      <c r="AB28" s="3"/>
      <c r="AC28" s="3"/>
      <c r="AE28" s="7">
        <v>0</v>
      </c>
      <c r="AF28" s="3"/>
      <c r="AG28" s="3"/>
      <c r="AI28" s="7">
        <v>0</v>
      </c>
      <c r="AJ28" s="3"/>
      <c r="AK28" s="3"/>
      <c r="AM28" s="7">
        <v>0</v>
      </c>
      <c r="AN28" s="3"/>
      <c r="AO28" s="3"/>
    </row>
    <row r="29" spans="1:41" ht="17.25" x14ac:dyDescent="0.4">
      <c r="E29" s="7">
        <f>SUM(C21:C28)</f>
        <v>-1592404.03</v>
      </c>
      <c r="F29" s="3"/>
      <c r="G29" s="3"/>
      <c r="H29" s="3"/>
      <c r="I29" s="13">
        <f>SUM(G21:G28)</f>
        <v>-1241065.8204687994</v>
      </c>
      <c r="K29" s="3"/>
      <c r="L29" s="3"/>
      <c r="M29" s="7">
        <f>SUM(K21:K28)</f>
        <v>-1802757.0528030957</v>
      </c>
      <c r="O29" s="3"/>
      <c r="P29" s="3"/>
      <c r="Q29" s="7">
        <f>SUM(O21:O28)</f>
        <v>-2610336.3366785664</v>
      </c>
      <c r="S29" s="3"/>
      <c r="T29" s="3"/>
      <c r="U29" s="7">
        <f>SUM(S21:S28)</f>
        <v>-7616031.5099999998</v>
      </c>
      <c r="W29" s="3"/>
      <c r="X29" s="3"/>
      <c r="Y29" s="7">
        <f>SUM(W21:W28)</f>
        <v>-6417449.3200000003</v>
      </c>
      <c r="Z29" s="3"/>
      <c r="AA29" s="3"/>
      <c r="AB29" s="3"/>
      <c r="AC29" s="7">
        <f>SUM(AA21:AA28)</f>
        <v>-6826952.7999999998</v>
      </c>
      <c r="AE29" s="3"/>
      <c r="AF29" s="3"/>
      <c r="AG29" s="7">
        <f>SUM(AE21:AE28)</f>
        <v>-6801844</v>
      </c>
      <c r="AI29" s="3"/>
      <c r="AJ29" s="3"/>
      <c r="AK29" s="7">
        <f>SUM(AI21:AI28)</f>
        <v>-6757697.5999999996</v>
      </c>
      <c r="AM29" s="3"/>
      <c r="AN29" s="3"/>
      <c r="AO29" s="7">
        <f>SUM(AM21:AM28)</f>
        <v>-6709379.5</v>
      </c>
    </row>
    <row r="30" spans="1:41" ht="8.25" customHeight="1" x14ac:dyDescent="0.25">
      <c r="E30" s="3"/>
      <c r="F30" s="3"/>
      <c r="G30" s="3"/>
      <c r="H30" s="3"/>
      <c r="I30" s="3"/>
      <c r="K30" s="3"/>
      <c r="L30" s="3"/>
      <c r="M30" s="3"/>
      <c r="O30" s="3"/>
      <c r="P30" s="3"/>
      <c r="Q30" s="3"/>
      <c r="S30" s="3"/>
      <c r="T30" s="3"/>
      <c r="U30" s="3"/>
      <c r="W30" s="3"/>
      <c r="X30" s="3"/>
      <c r="Y30" s="3"/>
      <c r="Z30" s="3"/>
      <c r="AA30" s="3"/>
      <c r="AB30" s="3"/>
      <c r="AC30" s="3"/>
      <c r="AE30" s="3"/>
      <c r="AF30" s="3"/>
      <c r="AG30" s="3"/>
      <c r="AI30" s="3"/>
      <c r="AJ30" s="3"/>
      <c r="AK30" s="3"/>
      <c r="AM30" s="3"/>
      <c r="AN30" s="3"/>
      <c r="AO30" s="3"/>
    </row>
    <row r="31" spans="1:41" x14ac:dyDescent="0.25">
      <c r="A31" t="s">
        <v>84</v>
      </c>
      <c r="E31" s="3">
        <f>SUM(E13,E29)</f>
        <v>-396553.17953120056</v>
      </c>
      <c r="F31" s="3"/>
      <c r="G31" s="3"/>
      <c r="H31" s="3"/>
      <c r="I31" s="3">
        <f>SUM(I13,I29)</f>
        <v>511357.89233429614</v>
      </c>
      <c r="K31" s="3"/>
      <c r="L31" s="3"/>
      <c r="M31" s="3">
        <f>SUM(M13,M29)</f>
        <v>609129.10387547058</v>
      </c>
      <c r="O31" s="3"/>
      <c r="P31" s="3"/>
      <c r="Q31" s="3">
        <f>SUM(Q13,Q29)</f>
        <v>853697.42509472277</v>
      </c>
      <c r="S31" s="3"/>
      <c r="T31" s="3"/>
      <c r="U31" s="5">
        <f>SUM(U13,U29)</f>
        <v>-2577630.8614225481</v>
      </c>
      <c r="W31" s="3"/>
      <c r="X31" s="3"/>
      <c r="Y31" s="3">
        <f>SUM(Y13,Y29)</f>
        <v>0.11647109594196081</v>
      </c>
      <c r="Z31" s="3"/>
      <c r="AA31" s="3"/>
      <c r="AB31" s="3"/>
      <c r="AC31" s="3">
        <f>SUM(AC13,AC29)</f>
        <v>9.4641381874680519E-3</v>
      </c>
      <c r="AE31" s="3"/>
      <c r="AF31" s="3"/>
      <c r="AG31" s="3">
        <f>SUM(AG13,AG29)</f>
        <v>1.1669695377349854E-3</v>
      </c>
      <c r="AI31" s="3"/>
      <c r="AJ31" s="3"/>
      <c r="AK31" s="3">
        <f>SUM(AK13,AK29)</f>
        <v>0.1546431528404355</v>
      </c>
      <c r="AM31" s="3"/>
      <c r="AN31" s="3"/>
      <c r="AO31" s="3">
        <f>SUM(AO13,AO29)</f>
        <v>0.32291448675096035</v>
      </c>
    </row>
    <row r="32" spans="1:41" x14ac:dyDescent="0.25">
      <c r="E32" s="3"/>
      <c r="F32" s="3"/>
      <c r="G32" s="3"/>
      <c r="H32" s="3"/>
      <c r="I32" s="3"/>
      <c r="K32" s="3"/>
      <c r="L32" s="3"/>
      <c r="M32" s="3"/>
      <c r="O32" s="3"/>
      <c r="P32" s="3"/>
      <c r="Q32" s="3"/>
      <c r="S32" s="3"/>
      <c r="T32" s="3"/>
      <c r="W32" s="3"/>
      <c r="X32" s="3"/>
      <c r="Y32" s="3"/>
      <c r="Z32" s="3"/>
      <c r="AA32" s="3"/>
      <c r="AB32" s="3"/>
      <c r="AC32" s="3"/>
      <c r="AE32" s="3"/>
      <c r="AF32" s="3"/>
      <c r="AG32" s="3"/>
      <c r="AI32" s="3"/>
      <c r="AJ32" s="3"/>
      <c r="AK32" s="3"/>
      <c r="AM32" s="3"/>
      <c r="AN32" s="3"/>
      <c r="AO32" s="3"/>
    </row>
    <row r="33" spans="1:41" x14ac:dyDescent="0.25">
      <c r="E33" s="3"/>
      <c r="F33" s="3"/>
      <c r="G33" s="3"/>
      <c r="H33" s="3"/>
      <c r="I33" s="3"/>
      <c r="K33" s="3"/>
      <c r="L33" s="3"/>
      <c r="M33" s="3"/>
      <c r="O33" s="3"/>
      <c r="P33" s="3"/>
      <c r="Q33" s="3"/>
      <c r="S33" s="3"/>
      <c r="T33" s="3"/>
      <c r="W33" s="3"/>
      <c r="X33" s="3"/>
      <c r="Y33" s="3"/>
      <c r="Z33" s="3"/>
      <c r="AA33" s="3"/>
      <c r="AB33" s="3"/>
      <c r="AC33" s="3"/>
      <c r="AE33" s="3"/>
      <c r="AF33" s="3"/>
      <c r="AG33" s="3"/>
      <c r="AI33" s="3"/>
      <c r="AJ33" s="3"/>
      <c r="AK33" s="3"/>
      <c r="AM33" s="3"/>
      <c r="AN33" s="3"/>
      <c r="AO33" s="3"/>
    </row>
    <row r="34" spans="1:41" x14ac:dyDescent="0.25">
      <c r="A34" t="s">
        <v>85</v>
      </c>
      <c r="E34" s="3">
        <f>'BS Years 1-5'!E8</f>
        <v>1250000</v>
      </c>
      <c r="F34" s="3"/>
      <c r="G34" s="3"/>
      <c r="H34" s="3"/>
      <c r="I34" s="3">
        <f>E36</f>
        <v>853446.82046879944</v>
      </c>
      <c r="K34" s="3"/>
      <c r="L34" s="3"/>
      <c r="M34" s="3">
        <f>I36</f>
        <v>1364804.7128030956</v>
      </c>
      <c r="O34" s="3"/>
      <c r="P34" s="3"/>
      <c r="Q34" s="3">
        <f>M36</f>
        <v>1973933.8166785662</v>
      </c>
      <c r="S34" s="3"/>
      <c r="T34" s="3"/>
      <c r="U34" s="5">
        <f>Q36</f>
        <v>2827631.2417732887</v>
      </c>
      <c r="W34" s="3"/>
      <c r="X34" s="3"/>
      <c r="Y34" s="3">
        <f>U36</f>
        <v>250000.38035074063</v>
      </c>
      <c r="Z34" s="3"/>
      <c r="AA34" s="3"/>
      <c r="AB34" s="3"/>
      <c r="AC34" s="3">
        <f>Y36</f>
        <v>250000.49682183657</v>
      </c>
      <c r="AE34" s="3"/>
      <c r="AF34" s="3"/>
      <c r="AG34" s="3">
        <f>AC36</f>
        <v>250000.50628597476</v>
      </c>
      <c r="AI34" s="3"/>
      <c r="AJ34" s="3"/>
      <c r="AK34" s="3">
        <f>AG36</f>
        <v>250000.50745294429</v>
      </c>
      <c r="AM34" s="3"/>
      <c r="AN34" s="3"/>
      <c r="AO34" s="3">
        <f>AK36</f>
        <v>250000.66209609713</v>
      </c>
    </row>
    <row r="35" spans="1:41" ht="9.75" customHeight="1" x14ac:dyDescent="0.25">
      <c r="E35" s="3"/>
      <c r="F35" s="3"/>
      <c r="G35" s="3"/>
      <c r="H35" s="3"/>
      <c r="I35" s="3"/>
      <c r="K35" s="3"/>
      <c r="L35" s="3"/>
      <c r="M35" s="3"/>
      <c r="O35" s="3"/>
      <c r="P35" s="3"/>
      <c r="Q35" s="3"/>
      <c r="S35" s="3"/>
      <c r="T35" s="3"/>
      <c r="W35" s="3"/>
      <c r="X35" s="3"/>
      <c r="Y35" s="3"/>
      <c r="Z35" s="3"/>
      <c r="AA35" s="3"/>
      <c r="AB35" s="3"/>
      <c r="AC35" s="3"/>
      <c r="AE35" s="3"/>
      <c r="AF35" s="3"/>
      <c r="AG35" s="3"/>
      <c r="AI35" s="3"/>
      <c r="AJ35" s="3"/>
      <c r="AK35" s="3"/>
      <c r="AM35" s="3"/>
      <c r="AN35" s="3"/>
      <c r="AO35" s="3"/>
    </row>
    <row r="36" spans="1:41" x14ac:dyDescent="0.25">
      <c r="A36" t="s">
        <v>86</v>
      </c>
      <c r="E36" s="5">
        <f>E31+E34</f>
        <v>853446.82046879944</v>
      </c>
      <c r="G36" s="3"/>
      <c r="H36" s="3"/>
      <c r="I36" s="5">
        <f>I31+I34</f>
        <v>1364804.7128030956</v>
      </c>
      <c r="K36" s="3"/>
      <c r="L36" s="3"/>
      <c r="M36" s="5">
        <f>M31+M34</f>
        <v>1973933.8166785662</v>
      </c>
      <c r="O36" s="3"/>
      <c r="P36" s="3"/>
      <c r="Q36" s="5">
        <f>Q31+Q34</f>
        <v>2827631.2417732887</v>
      </c>
      <c r="S36" s="3"/>
      <c r="T36" s="3"/>
      <c r="U36" s="5">
        <f>U31+U34</f>
        <v>250000.38035074063</v>
      </c>
      <c r="W36" s="3"/>
      <c r="X36" s="3"/>
      <c r="Y36" s="5">
        <f>Y31+Y34</f>
        <v>250000.49682183657</v>
      </c>
      <c r="Z36" s="3"/>
      <c r="AA36" s="3"/>
      <c r="AB36" s="3"/>
      <c r="AC36" s="5">
        <f>AC31+AC34</f>
        <v>250000.50628597476</v>
      </c>
      <c r="AE36" s="3"/>
      <c r="AF36" s="3"/>
      <c r="AG36" s="5">
        <f>AG31+AG34</f>
        <v>250000.50745294429</v>
      </c>
      <c r="AI36" s="3"/>
      <c r="AJ36" s="3"/>
      <c r="AK36" s="5">
        <f>AK31+AK34</f>
        <v>250000.66209609713</v>
      </c>
      <c r="AM36" s="3"/>
      <c r="AN36" s="3"/>
      <c r="AO36" s="5">
        <f>AO31+AO34</f>
        <v>250000.98501058389</v>
      </c>
    </row>
    <row r="37" spans="1:41" x14ac:dyDescent="0.25">
      <c r="G37" s="3"/>
      <c r="H37" s="3"/>
      <c r="I37" s="3"/>
    </row>
    <row r="39" spans="1:41" x14ac:dyDescent="0.25">
      <c r="H39" t="s">
        <v>6</v>
      </c>
      <c r="S39" t="s">
        <v>6</v>
      </c>
    </row>
  </sheetData>
  <pageMargins left="0.7" right="0.7" top="0.75" bottom="0.75" header="0.3" footer="0.3"/>
  <pageSetup scale="36" orientation="landscape" r:id="rId1"/>
  <headerFooter>
    <oddHeader>&amp;CCarrick Financial Holdings, LLC Proforma Statement of Cash Flows, 2014 - 2023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168 Percent</vt:lpstr>
      <vt:lpstr>Proforma IS Years 1 - 5</vt:lpstr>
      <vt:lpstr>IS Years 6 - 10</vt:lpstr>
      <vt:lpstr>BS Years 1-5</vt:lpstr>
      <vt:lpstr>BS Years 6-10</vt:lpstr>
      <vt:lpstr>Statement of Cash Flows</vt:lpstr>
      <vt:lpstr>'Statement of Cash Flows'!Print_Area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Lane</dc:creator>
  <cp:lastModifiedBy>Lane</cp:lastModifiedBy>
  <cp:lastPrinted>2013-11-11T16:31:30Z</cp:lastPrinted>
  <dcterms:created xsi:type="dcterms:W3CDTF">2013-10-11T03:31:24Z</dcterms:created>
  <dcterms:modified xsi:type="dcterms:W3CDTF">2013-11-11T18:40:21Z</dcterms:modified>
</cp:coreProperties>
</file>